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1700" firstSheet="3" activeTab="6"/>
  </bookViews>
  <sheets>
    <sheet name="Πίνακες" sheetId="1" r:id="rId1"/>
    <sheet name="Εξοπλισμός" sheetId="2" r:id="rId2"/>
    <sheet name="Κόστος Πάγιας Επένδυσης" sheetId="3" r:id="rId3"/>
    <sheet name="Πρώτες και Βοηθητικές Ύλες" sheetId="4" r:id="rId4"/>
    <sheet name="Οικονομικοί Όροι Α' ΤΡΟΠΟΣ" sheetId="6" r:id="rId5"/>
    <sheet name="Οικονομικοί Όροι Β' ΤΡΟΠΟΣ" sheetId="5" r:id="rId6"/>
    <sheet name="Σύγκριση" sheetId="7" r:id="rId7"/>
  </sheets>
  <definedNames>
    <definedName name="solver_adj" localSheetId="4" hidden="1">'Οικονομικοί Όροι Α'' ΤΡΟΠΟΣ'!$B$4</definedName>
    <definedName name="solver_adj" localSheetId="5" hidden="1">'Οικονομικοί Όροι Β'' ΤΡΟΠΟΣ'!$B$4</definedName>
    <definedName name="solver_cvg" localSheetId="4" hidden="1">0.0001</definedName>
    <definedName name="solver_cvg" localSheetId="5" hidden="1">0.0001</definedName>
    <definedName name="solver_drv" localSheetId="4" hidden="1">1</definedName>
    <definedName name="solver_drv" localSheetId="5" hidden="1">1</definedName>
    <definedName name="solver_eng" localSheetId="4" hidden="1">1</definedName>
    <definedName name="solver_eng" localSheetId="5" hidden="1">1</definedName>
    <definedName name="solver_est" localSheetId="4" hidden="1">1</definedName>
    <definedName name="solver_est" localSheetId="5" hidden="1">1</definedName>
    <definedName name="solver_itr" localSheetId="4" hidden="1">2147483647</definedName>
    <definedName name="solver_itr" localSheetId="5" hidden="1">2147483647</definedName>
    <definedName name="solver_mip" localSheetId="4" hidden="1">2147483647</definedName>
    <definedName name="solver_mip" localSheetId="5" hidden="1">2147483647</definedName>
    <definedName name="solver_mni" localSheetId="4" hidden="1">30</definedName>
    <definedName name="solver_mni" localSheetId="5" hidden="1">30</definedName>
    <definedName name="solver_mrt" localSheetId="4" hidden="1">0.075</definedName>
    <definedName name="solver_mrt" localSheetId="5" hidden="1">0.075</definedName>
    <definedName name="solver_msl" localSheetId="4" hidden="1">2</definedName>
    <definedName name="solver_msl" localSheetId="5" hidden="1">2</definedName>
    <definedName name="solver_neg" localSheetId="4" hidden="1">1</definedName>
    <definedName name="solver_neg" localSheetId="5" hidden="1">1</definedName>
    <definedName name="solver_nod" localSheetId="4" hidden="1">2147483647</definedName>
    <definedName name="solver_nod" localSheetId="5" hidden="1">2147483647</definedName>
    <definedName name="solver_num" localSheetId="4" hidden="1">0</definedName>
    <definedName name="solver_num" localSheetId="5" hidden="1">0</definedName>
    <definedName name="solver_nwt" localSheetId="4" hidden="1">1</definedName>
    <definedName name="solver_nwt" localSheetId="5" hidden="1">1</definedName>
    <definedName name="solver_opt" localSheetId="4" hidden="1">'Οικονομικοί Όροι Α'' ΤΡΟΠΟΣ'!$K$28</definedName>
    <definedName name="solver_opt" localSheetId="5" hidden="1">'Οικονομικοί Όροι Β'' ΤΡΟΠΟΣ'!$K$28</definedName>
    <definedName name="solver_pre" localSheetId="4" hidden="1">0.000001</definedName>
    <definedName name="solver_pre" localSheetId="5" hidden="1">0.000001</definedName>
    <definedName name="solver_rbv" localSheetId="4" hidden="1">1</definedName>
    <definedName name="solver_rbv" localSheetId="5" hidden="1">1</definedName>
    <definedName name="solver_rlx" localSheetId="4" hidden="1">2</definedName>
    <definedName name="solver_rlx" localSheetId="5" hidden="1">2</definedName>
    <definedName name="solver_rsd" localSheetId="4" hidden="1">0</definedName>
    <definedName name="solver_rsd" localSheetId="5" hidden="1">0</definedName>
    <definedName name="solver_scl" localSheetId="4" hidden="1">1</definedName>
    <definedName name="solver_scl" localSheetId="5" hidden="1">1</definedName>
    <definedName name="solver_sho" localSheetId="4" hidden="1">2</definedName>
    <definedName name="solver_sho" localSheetId="5" hidden="1">2</definedName>
    <definedName name="solver_ssz" localSheetId="4" hidden="1">100</definedName>
    <definedName name="solver_ssz" localSheetId="5" hidden="1">100</definedName>
    <definedName name="solver_tim" localSheetId="4" hidden="1">2147483647</definedName>
    <definedName name="solver_tim" localSheetId="5" hidden="1">2147483647</definedName>
    <definedName name="solver_tol" localSheetId="4" hidden="1">1</definedName>
    <definedName name="solver_tol" localSheetId="5" hidden="1">1</definedName>
    <definedName name="solver_typ" localSheetId="4" hidden="1">3</definedName>
    <definedName name="solver_typ" localSheetId="5" hidden="1">3</definedName>
    <definedName name="solver_val" localSheetId="4" hidden="1">0</definedName>
    <definedName name="solver_val" localSheetId="5" hidden="1">0</definedName>
    <definedName name="solver_ver" localSheetId="4" hidden="1">3</definedName>
    <definedName name="solver_ver" localSheetId="5" hidden="1">3</definedName>
  </definedNames>
  <calcPr calcId="145621"/>
</workbook>
</file>

<file path=xl/calcChain.xml><?xml version="1.0" encoding="utf-8"?>
<calcChain xmlns="http://schemas.openxmlformats.org/spreadsheetml/2006/main">
  <c r="B1" i="4" l="1"/>
  <c r="B2" i="4" s="1"/>
  <c r="C16" i="7" l="1"/>
  <c r="C15" i="7"/>
  <c r="D16" i="7"/>
  <c r="D15" i="7"/>
  <c r="B3" i="5" l="1"/>
  <c r="B3" i="6"/>
  <c r="B30" i="4"/>
  <c r="B34" i="4" s="1"/>
  <c r="B5" i="4"/>
  <c r="B13" i="4"/>
  <c r="B17" i="4" s="1"/>
  <c r="I30" i="1"/>
  <c r="I32" i="1"/>
  <c r="I22" i="1"/>
  <c r="J6" i="2" s="1"/>
  <c r="I20" i="1"/>
  <c r="J5" i="2"/>
  <c r="F34" i="1"/>
  <c r="F32" i="1"/>
  <c r="F30" i="1"/>
  <c r="F28" i="1"/>
  <c r="F7" i="2"/>
  <c r="F20" i="1"/>
  <c r="B6" i="2"/>
  <c r="C38" i="1"/>
  <c r="C36" i="1"/>
  <c r="C34" i="1"/>
  <c r="C32" i="1"/>
  <c r="C20" i="1"/>
  <c r="B5" i="2" s="1"/>
  <c r="B19" i="2" l="1"/>
  <c r="B20" i="2" s="1"/>
  <c r="B29" i="2" s="1"/>
  <c r="B7" i="2"/>
  <c r="J7" i="2"/>
  <c r="J13" i="2" s="1"/>
  <c r="J19" i="2" s="1"/>
  <c r="B21" i="2" l="1"/>
  <c r="B27" i="2" s="1"/>
  <c r="D14" i="7"/>
  <c r="D13" i="7"/>
  <c r="C14" i="7"/>
  <c r="C13" i="7"/>
  <c r="C46" i="6"/>
  <c r="C47" i="6"/>
  <c r="B13" i="6"/>
  <c r="J7" i="6"/>
  <c r="J8" i="6" s="1"/>
  <c r="J9" i="6" s="1"/>
  <c r="J10" i="6" s="1"/>
  <c r="J11" i="6" s="1"/>
  <c r="J12" i="6" s="1"/>
  <c r="J13" i="6" s="1"/>
  <c r="J14" i="6" s="1"/>
  <c r="J15" i="6" s="1"/>
  <c r="F7" i="6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B6" i="6"/>
  <c r="B6" i="5"/>
  <c r="J7" i="5"/>
  <c r="J8" i="5" s="1"/>
  <c r="F7" i="5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B13" i="5"/>
  <c r="J9" i="5" l="1"/>
  <c r="J10" i="5" l="1"/>
  <c r="J11" i="5" l="1"/>
  <c r="J12" i="5" l="1"/>
  <c r="J13" i="5" l="1"/>
  <c r="J14" i="5" l="1"/>
  <c r="J15" i="5" l="1"/>
  <c r="B25" i="4" l="1"/>
  <c r="J4" i="4" s="1"/>
  <c r="B18" i="4"/>
  <c r="B8" i="4"/>
  <c r="B9" i="4" s="1"/>
  <c r="J24" i="2"/>
  <c r="F11" i="2"/>
  <c r="F13" i="2"/>
  <c r="F9" i="2"/>
  <c r="B9" i="2"/>
  <c r="B14" i="2" s="1"/>
  <c r="B32" i="2" s="1"/>
  <c r="B37" i="2" s="1"/>
  <c r="J3" i="4" l="1"/>
  <c r="J5" i="4"/>
  <c r="J20" i="4"/>
  <c r="J8" i="4"/>
  <c r="B7" i="5"/>
  <c r="B7" i="6"/>
  <c r="B35" i="4"/>
  <c r="F14" i="2"/>
  <c r="F19" i="2" s="1"/>
  <c r="B30" i="2"/>
  <c r="B3" i="3" l="1"/>
  <c r="G5" i="6" s="1"/>
  <c r="D6" i="7"/>
  <c r="C6" i="7"/>
  <c r="G4" i="3"/>
  <c r="G5" i="3" l="1"/>
  <c r="G13" i="3"/>
  <c r="G20" i="3"/>
  <c r="G7" i="3"/>
  <c r="G17" i="3"/>
  <c r="G10" i="3"/>
  <c r="G22" i="3"/>
  <c r="G16" i="3"/>
  <c r="G9" i="3"/>
  <c r="G21" i="3"/>
  <c r="G12" i="3"/>
  <c r="G11" i="3"/>
  <c r="G6" i="3"/>
  <c r="G8" i="3"/>
  <c r="C7" i="7"/>
  <c r="B39" i="4"/>
  <c r="B18" i="6" l="1"/>
  <c r="B19" i="6"/>
  <c r="G25" i="3"/>
  <c r="G26" i="3" s="1"/>
  <c r="G27" i="3" s="1"/>
  <c r="B11" i="6"/>
  <c r="C8" i="7"/>
  <c r="J13" i="4" l="1"/>
  <c r="J6" i="4"/>
  <c r="J16" i="4" s="1"/>
  <c r="J14" i="4"/>
  <c r="J15" i="4"/>
  <c r="J22" i="4" s="1"/>
  <c r="B12" i="6"/>
  <c r="C9" i="7"/>
  <c r="D7" i="7"/>
  <c r="K5" i="5"/>
  <c r="L5" i="5" s="1"/>
  <c r="G5" i="5"/>
  <c r="H5" i="5" s="1"/>
  <c r="K5" i="6"/>
  <c r="G6" i="6" l="1"/>
  <c r="J7" i="4"/>
  <c r="J9" i="4" s="1"/>
  <c r="J10" i="4" s="1"/>
  <c r="J17" i="4"/>
  <c r="H5" i="6"/>
  <c r="C10" i="7"/>
  <c r="G25" i="6"/>
  <c r="G11" i="6"/>
  <c r="G7" i="6"/>
  <c r="K13" i="6"/>
  <c r="G17" i="6"/>
  <c r="G8" i="6"/>
  <c r="K14" i="6"/>
  <c r="K9" i="6"/>
  <c r="G9" i="6"/>
  <c r="K15" i="6"/>
  <c r="K7" i="6"/>
  <c r="G13" i="6"/>
  <c r="G10" i="6"/>
  <c r="G18" i="6"/>
  <c r="G14" i="6"/>
  <c r="C12" i="7"/>
  <c r="K12" i="6"/>
  <c r="G15" i="6"/>
  <c r="G12" i="6"/>
  <c r="G20" i="6"/>
  <c r="K8" i="6"/>
  <c r="G21" i="6"/>
  <c r="G16" i="6"/>
  <c r="G22" i="6"/>
  <c r="K10" i="6"/>
  <c r="G19" i="6"/>
  <c r="K6" i="6"/>
  <c r="G24" i="6"/>
  <c r="G23" i="6"/>
  <c r="K11" i="6"/>
  <c r="C11" i="7"/>
  <c r="L5" i="6"/>
  <c r="J21" i="4" l="1"/>
  <c r="J23" i="4" s="1"/>
  <c r="J25" i="4" s="1"/>
  <c r="G28" i="6"/>
  <c r="K28" i="6"/>
  <c r="H6" i="6"/>
  <c r="H7" i="6" s="1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L6" i="6"/>
  <c r="L7" i="6" s="1"/>
  <c r="L8" i="6" s="1"/>
  <c r="L9" i="6" s="1"/>
  <c r="L10" i="6" s="1"/>
  <c r="L11" i="6" s="1"/>
  <c r="L12" i="6" s="1"/>
  <c r="L13" i="6" s="1"/>
  <c r="L14" i="6" s="1"/>
  <c r="L15" i="6" s="1"/>
  <c r="B19" i="5" l="1"/>
  <c r="B18" i="5"/>
  <c r="G30" i="6"/>
  <c r="D8" i="7"/>
  <c r="B11" i="5"/>
  <c r="B12" i="5" l="1"/>
  <c r="D9" i="7"/>
  <c r="G6" i="5" l="1"/>
  <c r="D11" i="7"/>
  <c r="D12" i="7"/>
  <c r="K6" i="5"/>
  <c r="G13" i="5"/>
  <c r="G7" i="5"/>
  <c r="G15" i="5"/>
  <c r="G10" i="5"/>
  <c r="G22" i="5"/>
  <c r="G25" i="5"/>
  <c r="G16" i="5"/>
  <c r="K10" i="5"/>
  <c r="G19" i="5"/>
  <c r="G21" i="5"/>
  <c r="G9" i="5"/>
  <c r="G11" i="5"/>
  <c r="G8" i="5"/>
  <c r="G14" i="5"/>
  <c r="K15" i="5"/>
  <c r="G23" i="5"/>
  <c r="K9" i="5"/>
  <c r="G18" i="5"/>
  <c r="K7" i="5"/>
  <c r="K14" i="5"/>
  <c r="G12" i="5"/>
  <c r="K11" i="5"/>
  <c r="K12" i="5"/>
  <c r="D10" i="7"/>
  <c r="G20" i="5"/>
  <c r="K13" i="5"/>
  <c r="K8" i="5"/>
  <c r="G17" i="5"/>
  <c r="G24" i="5"/>
  <c r="H6" i="5" l="1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G28" i="5"/>
  <c r="L6" i="5"/>
  <c r="L7" i="5" s="1"/>
  <c r="L8" i="5" s="1"/>
  <c r="L9" i="5" s="1"/>
  <c r="L10" i="5" s="1"/>
  <c r="L11" i="5" s="1"/>
  <c r="L12" i="5" s="1"/>
  <c r="L13" i="5" s="1"/>
  <c r="L14" i="5" s="1"/>
  <c r="L15" i="5" s="1"/>
  <c r="K28" i="5"/>
  <c r="G30" i="5" l="1"/>
</calcChain>
</file>

<file path=xl/sharedStrings.xml><?xml version="1.0" encoding="utf-8"?>
<sst xmlns="http://schemas.openxmlformats.org/spreadsheetml/2006/main" count="426" uniqueCount="241">
  <si>
    <t>Ρεύμα</t>
  </si>
  <si>
    <t>Θερμοκρασία, oC</t>
  </si>
  <si>
    <t>Παροχή Μάζας, kg/h</t>
  </si>
  <si>
    <t>Γραμμομοριακή Ροή, kgmol/h</t>
  </si>
  <si>
    <t>Oγκομετρική Παροχή, m3/h</t>
  </si>
  <si>
    <t>Αντλία</t>
  </si>
  <si>
    <t>P-101</t>
  </si>
  <si>
    <t>Πυκνότητα Ρευστού, kg/m3</t>
  </si>
  <si>
    <t xml:space="preserve">Τύπος Αντλίας </t>
  </si>
  <si>
    <t>Απόδοση (%)</t>
  </si>
  <si>
    <t>Πίεση Εισόδου, bar</t>
  </si>
  <si>
    <t>Πίεση Εξόδου, bar</t>
  </si>
  <si>
    <t>Ισχύς, kW</t>
  </si>
  <si>
    <t>Υλικό Κατασκευής</t>
  </si>
  <si>
    <t>Εναλλάκτης</t>
  </si>
  <si>
    <t>Ε-101</t>
  </si>
  <si>
    <t>Δοχείο Διαχωρισμού</t>
  </si>
  <si>
    <t>V-101</t>
  </si>
  <si>
    <t>Θερμοκρασία Εισόδου, oC</t>
  </si>
  <si>
    <t>Θερμοκρασία Εξόδου, oC</t>
  </si>
  <si>
    <t>S</t>
  </si>
  <si>
    <t>Q</t>
  </si>
  <si>
    <t>Δh</t>
  </si>
  <si>
    <t>m3/s</t>
  </si>
  <si>
    <t>m</t>
  </si>
  <si>
    <t>$</t>
  </si>
  <si>
    <t>Cp_0, 1979</t>
  </si>
  <si>
    <t>Fm</t>
  </si>
  <si>
    <t>FT</t>
  </si>
  <si>
    <t>1 βαθμίδα</t>
  </si>
  <si>
    <t>Cp_final</t>
  </si>
  <si>
    <t>Chapter 3, p. 60, Eq. 3.22/3.23/3.24…</t>
  </si>
  <si>
    <t>P-101 (pump)</t>
  </si>
  <si>
    <t>P-101 (electric motor)</t>
  </si>
  <si>
    <t>P_B</t>
  </si>
  <si>
    <t>ρ</t>
  </si>
  <si>
    <t>kg/m3</t>
  </si>
  <si>
    <t>np</t>
  </si>
  <si>
    <t>--</t>
  </si>
  <si>
    <t>Watt, J/s</t>
  </si>
  <si>
    <t>A</t>
  </si>
  <si>
    <t>B</t>
  </si>
  <si>
    <t>C</t>
  </si>
  <si>
    <t>hp</t>
  </si>
  <si>
    <t>nm (footnote at p.61)</t>
  </si>
  <si>
    <t>Real P_B</t>
  </si>
  <si>
    <t>Total Cp_0, 1979</t>
  </si>
  <si>
    <t>MS_1979</t>
  </si>
  <si>
    <t>MS_2005</t>
  </si>
  <si>
    <t>E-101 (heat exchange, heater)</t>
  </si>
  <si>
    <t>m4/s2</t>
  </si>
  <si>
    <t>Fd</t>
  </si>
  <si>
    <t>fixed head</t>
  </si>
  <si>
    <t>Fp</t>
  </si>
  <si>
    <t>pressure 21-42</t>
  </si>
  <si>
    <t>Material = SS304</t>
  </si>
  <si>
    <t>Cp_final, 1979</t>
  </si>
  <si>
    <t>Total Cp, 2005</t>
  </si>
  <si>
    <t>V-101 (vertical tank)</t>
  </si>
  <si>
    <t>Chapter 3, p. 65, Eq. 3.33/3.34/3.35…</t>
  </si>
  <si>
    <t>D</t>
  </si>
  <si>
    <t>Chapter 3, p. 47, table 3.5</t>
  </si>
  <si>
    <t>Cp_0, 1968</t>
  </si>
  <si>
    <t>Material = SS316, Clad</t>
  </si>
  <si>
    <t>pressure 12bar</t>
  </si>
  <si>
    <t>FBM</t>
  </si>
  <si>
    <t>Cp_final, 1968</t>
  </si>
  <si>
    <t>6/hps</t>
  </si>
  <si>
    <t>Direct Costs (DC)</t>
  </si>
  <si>
    <t>Total Equipment Costs (CBM)</t>
  </si>
  <si>
    <t>Simulated</t>
  </si>
  <si>
    <t>Installation Costs</t>
  </si>
  <si>
    <t>47%CBM</t>
  </si>
  <si>
    <t>Instrumentation and Control</t>
  </si>
  <si>
    <t>36%CBM</t>
  </si>
  <si>
    <t>Piping</t>
  </si>
  <si>
    <t>68%CBM</t>
  </si>
  <si>
    <t>Insulations</t>
  </si>
  <si>
    <t>8%CBM</t>
  </si>
  <si>
    <t>Electrical</t>
  </si>
  <si>
    <t>11%CBM</t>
  </si>
  <si>
    <t>Building and Services</t>
  </si>
  <si>
    <t>18%CBM</t>
  </si>
  <si>
    <t>Land Improvements</t>
  </si>
  <si>
    <t>10%CBM</t>
  </si>
  <si>
    <t>Service Facilities</t>
  </si>
  <si>
    <t>70%CBM</t>
  </si>
  <si>
    <t>Land</t>
  </si>
  <si>
    <t>6%CBM</t>
  </si>
  <si>
    <t>Indirect Costs (IC)</t>
  </si>
  <si>
    <t>Engineering and Supervision</t>
  </si>
  <si>
    <t>33%CBM</t>
  </si>
  <si>
    <t xml:space="preserve">Construction Expenses </t>
  </si>
  <si>
    <t>41%CBM</t>
  </si>
  <si>
    <t>Other Costs (OC)</t>
  </si>
  <si>
    <t>Legal Fees</t>
  </si>
  <si>
    <t>4%CBM</t>
  </si>
  <si>
    <t>Contractor’s Fees</t>
  </si>
  <si>
    <t>22%CBM</t>
  </si>
  <si>
    <t>Contingencies</t>
  </si>
  <si>
    <t>44%CBM</t>
  </si>
  <si>
    <t>Total Costs</t>
  </si>
  <si>
    <t>Fixed Capital Investment (FCI)</t>
  </si>
  <si>
    <t>DC+IC+OC</t>
  </si>
  <si>
    <t>Working Capital (IW)</t>
  </si>
  <si>
    <t>15%FCI*</t>
  </si>
  <si>
    <t>Total Fixed Capital Investment (FCI*)</t>
  </si>
  <si>
    <t>FCI+IW</t>
  </si>
  <si>
    <t>CRM</t>
  </si>
  <si>
    <t>CUT</t>
  </si>
  <si>
    <t>COL</t>
  </si>
  <si>
    <t>CWT</t>
  </si>
  <si>
    <t>Raw Material</t>
  </si>
  <si>
    <t>kg/h</t>
  </si>
  <si>
    <t xml:space="preserve">Cost </t>
  </si>
  <si>
    <t>Flow</t>
  </si>
  <si>
    <t>euro/kg</t>
  </si>
  <si>
    <t>Utilities</t>
  </si>
  <si>
    <t>$/t</t>
  </si>
  <si>
    <t>t/h</t>
  </si>
  <si>
    <t>euro/h</t>
  </si>
  <si>
    <t>Labour</t>
  </si>
  <si>
    <t>Number of Workers</t>
  </si>
  <si>
    <t>Cost of workers</t>
  </si>
  <si>
    <t>Waste Management</t>
  </si>
  <si>
    <t>Non-Toxic</t>
  </si>
  <si>
    <t>Cost</t>
  </si>
  <si>
    <t>Total Product Cost</t>
  </si>
  <si>
    <t>TPC</t>
  </si>
  <si>
    <t>Total Hours per Year</t>
  </si>
  <si>
    <t>euro/y</t>
  </si>
  <si>
    <t>hr/yr</t>
  </si>
  <si>
    <t>A. Direct Production Costs</t>
  </si>
  <si>
    <t>1. Raw Materials and Utilities</t>
  </si>
  <si>
    <t>2. Labor</t>
  </si>
  <si>
    <t>3. Supervision</t>
  </si>
  <si>
    <t>15%A2</t>
  </si>
  <si>
    <t>15% of Labor</t>
  </si>
  <si>
    <t>4. Maintenance</t>
  </si>
  <si>
    <t>5%IF</t>
  </si>
  <si>
    <t>5% of FCI</t>
  </si>
  <si>
    <t>5. Operating Supplies</t>
  </si>
  <si>
    <t>15%A4</t>
  </si>
  <si>
    <t>15% of Maintenance</t>
  </si>
  <si>
    <t>6. Laboratory</t>
  </si>
  <si>
    <t>10%A2</t>
  </si>
  <si>
    <t>10% of Labor</t>
  </si>
  <si>
    <t>7. Overheads</t>
  </si>
  <si>
    <t>1%(A1-A6)</t>
  </si>
  <si>
    <t>1% of the sum (Labor+supervision+maintenance+operating supplies+laboratory)</t>
  </si>
  <si>
    <t>Total Direct Production Costs (DPC)</t>
  </si>
  <si>
    <t>Sum of A1-A7</t>
  </si>
  <si>
    <t>B. Annual Fixed Costs</t>
  </si>
  <si>
    <t>1. Total Taxes</t>
  </si>
  <si>
    <t>1%IF</t>
  </si>
  <si>
    <t>1% of FCI</t>
  </si>
  <si>
    <t xml:space="preserve">2. Insurances </t>
  </si>
  <si>
    <t>3. Depreciation</t>
  </si>
  <si>
    <t>10%IF</t>
  </si>
  <si>
    <t>10% of FCI</t>
  </si>
  <si>
    <t>4. Contingencies</t>
  </si>
  <si>
    <t>60%(A2+A3+A4)</t>
  </si>
  <si>
    <t>60% of the sum ( insurances+ depreciation+contigencies)</t>
  </si>
  <si>
    <t>Total Annual Fixed Costs (AFC)</t>
  </si>
  <si>
    <t>Sum of B1-B4</t>
  </si>
  <si>
    <t>C. General Costs</t>
  </si>
  <si>
    <t>1. Administration</t>
  </si>
  <si>
    <t>20%A2</t>
  </si>
  <si>
    <t>20% of Labor</t>
  </si>
  <si>
    <t>2. Marketing</t>
  </si>
  <si>
    <t>2%(A1-A6)</t>
  </si>
  <si>
    <t>2% of the sum (Labor+supervision+maintenance+operating supplies+laboratory)</t>
  </si>
  <si>
    <t>3. Interests</t>
  </si>
  <si>
    <t>8%(B3)</t>
  </si>
  <si>
    <t>8% of Depreciation</t>
  </si>
  <si>
    <t>Total General Costs (TGC)</t>
  </si>
  <si>
    <t>Sum of C1-C3</t>
  </si>
  <si>
    <t>Total Annual Production Cost (TPC)</t>
  </si>
  <si>
    <t>DPC+AFC+TGC</t>
  </si>
  <si>
    <t>CRM+CUT</t>
  </si>
  <si>
    <t>FCI</t>
  </si>
  <si>
    <t>Πωλήσεις</t>
  </si>
  <si>
    <t>Gross Profit</t>
  </si>
  <si>
    <t>Net Profit</t>
  </si>
  <si>
    <t>Taxes (t)</t>
  </si>
  <si>
    <t>P= R(1-t)</t>
  </si>
  <si>
    <t>R = S - TPC</t>
  </si>
  <si>
    <t>e (equal to depreciation, d)</t>
  </si>
  <si>
    <t>Pay Out Time (POT)</t>
  </si>
  <si>
    <t>Return on Investement (ROI)</t>
  </si>
  <si>
    <t>Όροι</t>
  </si>
  <si>
    <t>Year</t>
  </si>
  <si>
    <t>Total NPV</t>
  </si>
  <si>
    <t>euro</t>
  </si>
  <si>
    <t>NPV 20yrs</t>
  </si>
  <si>
    <t>NPV 10yrs</t>
  </si>
  <si>
    <t>S_20yrs</t>
  </si>
  <si>
    <t>S_10yrs</t>
  </si>
  <si>
    <t>Cumulative</t>
  </si>
  <si>
    <t>ΜΕΘΟΔΟΣ 1</t>
  </si>
  <si>
    <t>ΜΕΘΟΔΟΣ 2</t>
  </si>
  <si>
    <t>CBM</t>
  </si>
  <si>
    <t>Total FCI</t>
  </si>
  <si>
    <t>V</t>
  </si>
  <si>
    <t>m3/h</t>
  </si>
  <si>
    <t>hrs</t>
  </si>
  <si>
    <t>m3</t>
  </si>
  <si>
    <t>L/D</t>
  </si>
  <si>
    <t>constraint</t>
  </si>
  <si>
    <t>L or H</t>
  </si>
  <si>
    <t>WATER (A)</t>
  </si>
  <si>
    <t>1-PROPANOL (B)</t>
  </si>
  <si>
    <t>Κλάσματα Μάζας</t>
  </si>
  <si>
    <t>(mass fractions)</t>
  </si>
  <si>
    <t>Πίεση, atm</t>
  </si>
  <si>
    <t>Oγκομετρική Παροχή, m3/h (STP)</t>
  </si>
  <si>
    <t>Πίεση Εισόδου, atm</t>
  </si>
  <si>
    <t>Πίεση Εξόδου, atm</t>
  </si>
  <si>
    <t>SS 304</t>
  </si>
  <si>
    <t>Μανομετρικό Ύψος, M</t>
  </si>
  <si>
    <t>Φυγοκεντρική Αντλία 1 βαθμίδας, Στροφές 3600rpm</t>
  </si>
  <si>
    <t>Fixed Head</t>
  </si>
  <si>
    <t>Τύπος Εναλλάκτη</t>
  </si>
  <si>
    <t>Επιφάνεια Εναλλαγής Θερμότητας, m2</t>
  </si>
  <si>
    <t>Χρόνος παραμονής, h</t>
  </si>
  <si>
    <t>Ύψος, m</t>
  </si>
  <si>
    <t>Διάμετρος, m</t>
  </si>
  <si>
    <t>SS 316 Clad</t>
  </si>
  <si>
    <t>$/kg</t>
  </si>
  <si>
    <t>$/hr</t>
  </si>
  <si>
    <t>$/y</t>
  </si>
  <si>
    <t>$/yr</t>
  </si>
  <si>
    <t>$/h</t>
  </si>
  <si>
    <t>20yrs</t>
  </si>
  <si>
    <t>10yrs</t>
  </si>
  <si>
    <t>επιτόκιο</t>
  </si>
  <si>
    <t>For NPV=0</t>
  </si>
  <si>
    <t>For NPV&gt;V</t>
  </si>
  <si>
    <t>Σύνθετο Επιτόκιο, V</t>
  </si>
  <si>
    <t>A' TΡΟΠΟΣ</t>
  </si>
  <si>
    <t>Β' TΡΟΠΟΣ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</si>
</sst>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</font>
    <font>
      <sz val="11"/>
      <name val="Arial"/>
      <family val="2"/>
      <charset val="161"/>
    </font>
    <font>
      <sz val="11"/>
      <color rgb="FF2F2B2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1F0EC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2" borderId="0" xfId="0" applyFont="1" applyFill="1"/>
    <xf numFmtId="0" fontId="1" fillId="0" borderId="0" xfId="0" applyFont="1"/>
    <xf numFmtId="0" fontId="0" fillId="0" borderId="0" xfId="0" applyFont="1"/>
    <xf numFmtId="0" fontId="0" fillId="0" borderId="0" xfId="0" applyFont="1" applyBorder="1"/>
    <xf numFmtId="0" fontId="0" fillId="0" borderId="0" xfId="0" quotePrefix="1" applyFont="1"/>
    <xf numFmtId="0" fontId="4" fillId="3" borderId="1" xfId="0" applyFont="1" applyFill="1" applyBorder="1" applyAlignment="1">
      <alignment horizontal="left" wrapText="1" readingOrder="1"/>
    </xf>
    <xf numFmtId="0" fontId="5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 readingOrder="1"/>
    </xf>
    <xf numFmtId="0" fontId="0" fillId="4" borderId="0" xfId="0" applyFont="1" applyFill="1"/>
    <xf numFmtId="11" fontId="1" fillId="0" borderId="0" xfId="0" applyNumberFormat="1" applyFont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'Οικονομικοί Όροι Α'' ΤΡΟΠΟΣ'!$F$5:$F$25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'Οικονομικοί Όροι Α'' ΤΡΟΠΟΣ'!$H$5:$H$25</c:f>
              <c:numCache>
                <c:formatCode>General</c:formatCode>
                <c:ptCount val="21"/>
                <c:pt idx="0">
                  <c:v>-85507.732866340011</c:v>
                </c:pt>
                <c:pt idx="1">
                  <c:v>17355242.973251283</c:v>
                </c:pt>
                <c:pt idx="2">
                  <c:v>33965481.740982354</c:v>
                </c:pt>
                <c:pt idx="3">
                  <c:v>49784756.757869087</c:v>
                </c:pt>
                <c:pt idx="4">
                  <c:v>64850732.964427881</c:v>
                </c:pt>
                <c:pt idx="5">
                  <c:v>79199281.732579112</c:v>
                </c:pt>
                <c:pt idx="6">
                  <c:v>92864566.273675531</c:v>
                </c:pt>
                <c:pt idx="7">
                  <c:v>105879122.97948164</c:v>
                </c:pt>
                <c:pt idx="8">
                  <c:v>118273938.88977316</c:v>
                </c:pt>
                <c:pt idx="9">
                  <c:v>130078525.47100319</c:v>
                </c:pt>
                <c:pt idx="10">
                  <c:v>141320988.88169846</c:v>
                </c:pt>
                <c:pt idx="11">
                  <c:v>152028096.89188442</c:v>
                </c:pt>
                <c:pt idx="12">
                  <c:v>162225342.61587104</c:v>
                </c:pt>
                <c:pt idx="13">
                  <c:v>171937005.21014401</c:v>
                </c:pt>
                <c:pt idx="14">
                  <c:v>181186207.68088019</c:v>
                </c:pt>
                <c:pt idx="15">
                  <c:v>189994971.93872416</c:v>
                </c:pt>
                <c:pt idx="16">
                  <c:v>198384271.23190889</c:v>
                </c:pt>
                <c:pt idx="17">
                  <c:v>206374080.08256102</c:v>
                </c:pt>
                <c:pt idx="18">
                  <c:v>213983421.84508684</c:v>
                </c:pt>
                <c:pt idx="19">
                  <c:v>221230413.99987337</c:v>
                </c:pt>
                <c:pt idx="20">
                  <c:v>228132311.29014623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'Οικονομικοί Όροι Β'' ΤΡΟΠΟΣ'!$F$5:$F$25</c:f>
              <c:strCache>
                <c:ptCount val="1"/>
                <c:pt idx="0">
                  <c:v>0 1 2 3 4 5 6 7 8 9 10 11 12 13 14 15 16 17 18 19 20</c:v>
                </c:pt>
              </c:strCache>
            </c:strRef>
          </c:tx>
          <c:spPr>
            <a:ln w="28575">
              <a:noFill/>
            </a:ln>
          </c:spPr>
          <c:yVal>
            <c:numRef>
              <c:f>'Οικονομικοί Όροι Β'' ΤΡΟΠΟΣ'!$H$5:$H$25</c:f>
              <c:numCache>
                <c:formatCode>General</c:formatCode>
                <c:ptCount val="21"/>
                <c:pt idx="0">
                  <c:v>-424474.63723732287</c:v>
                </c:pt>
                <c:pt idx="1">
                  <c:v>57172317.653655447</c:v>
                </c:pt>
                <c:pt idx="2">
                  <c:v>112026405.5497438</c:v>
                </c:pt>
                <c:pt idx="3">
                  <c:v>164268394.0222089</c:v>
                </c:pt>
                <c:pt idx="4">
                  <c:v>214022668.75788996</c:v>
                </c:pt>
                <c:pt idx="5">
                  <c:v>261407692.31568143</c:v>
                </c:pt>
                <c:pt idx="6">
                  <c:v>306536286.18024474</c:v>
                </c:pt>
                <c:pt idx="7">
                  <c:v>349515899.38459074</c:v>
                </c:pt>
                <c:pt idx="8">
                  <c:v>390448864.34111077</c:v>
                </c:pt>
                <c:pt idx="9">
                  <c:v>429432640.49017745</c:v>
                </c:pt>
                <c:pt idx="10">
                  <c:v>466560046.34643143</c:v>
                </c:pt>
                <c:pt idx="11">
                  <c:v>501919480.49524474</c:v>
                </c:pt>
                <c:pt idx="12">
                  <c:v>535595132.06554312</c:v>
                </c:pt>
                <c:pt idx="13">
                  <c:v>567667181.18011296</c:v>
                </c:pt>
                <c:pt idx="14">
                  <c:v>598211989.86065567</c:v>
                </c:pt>
                <c:pt idx="15">
                  <c:v>627302283.84212494</c:v>
                </c:pt>
                <c:pt idx="16">
                  <c:v>655007325.72923851</c:v>
                </c:pt>
                <c:pt idx="17">
                  <c:v>681393079.90744197</c:v>
                </c:pt>
                <c:pt idx="18">
                  <c:v>706522369.60096908</c:v>
                </c:pt>
                <c:pt idx="19">
                  <c:v>730455026.45194721</c:v>
                </c:pt>
                <c:pt idx="20">
                  <c:v>753248032.97668839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829056"/>
        <c:axId val="248830592"/>
      </c:scatterChart>
      <c:valAx>
        <c:axId val="24882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8830592"/>
        <c:crosses val="autoZero"/>
        <c:crossBetween val="midCat"/>
      </c:valAx>
      <c:valAx>
        <c:axId val="24883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88290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32</xdr:row>
      <xdr:rowOff>119062</xdr:rowOff>
    </xdr:from>
    <xdr:to>
      <xdr:col>4</xdr:col>
      <xdr:colOff>38100</xdr:colOff>
      <xdr:row>46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40"/>
  <sheetViews>
    <sheetView zoomScale="80" zoomScaleNormal="80" workbookViewId="0">
      <selection activeCell="Q14" sqref="Q14"/>
    </sheetView>
  </sheetViews>
  <sheetFormatPr defaultRowHeight="15" x14ac:dyDescent="0.25"/>
  <cols>
    <col min="1" max="1" width="9.140625" style="4"/>
    <col min="2" max="2" width="31.140625" style="4" bestFit="1" customWidth="1"/>
    <col min="3" max="4" width="9.140625" style="4"/>
    <col min="5" max="5" width="26" style="4" bestFit="1" customWidth="1"/>
    <col min="6" max="6" width="11.42578125" style="4" customWidth="1"/>
    <col min="7" max="7" width="9.140625" style="4"/>
    <col min="8" max="8" width="26" style="4" bestFit="1" customWidth="1"/>
    <col min="9" max="16384" width="9.140625" style="4"/>
  </cols>
  <sheetData>
    <row r="6" spans="2:9" x14ac:dyDescent="0.25">
      <c r="B6" s="4" t="s">
        <v>0</v>
      </c>
      <c r="C6" s="4">
        <v>1</v>
      </c>
      <c r="D6" s="4">
        <v>2</v>
      </c>
      <c r="E6" s="4">
        <v>3</v>
      </c>
      <c r="F6" s="4">
        <v>4</v>
      </c>
      <c r="G6" s="4">
        <v>5</v>
      </c>
      <c r="H6" s="4" t="s">
        <v>67</v>
      </c>
      <c r="I6" s="4">
        <v>7</v>
      </c>
    </row>
    <row r="7" spans="2:9" x14ac:dyDescent="0.25">
      <c r="B7" s="4" t="s">
        <v>1</v>
      </c>
      <c r="C7" s="4">
        <v>25</v>
      </c>
      <c r="D7" s="4">
        <v>25.14</v>
      </c>
      <c r="E7" s="4">
        <v>80</v>
      </c>
      <c r="F7" s="4">
        <v>80</v>
      </c>
      <c r="G7" s="4">
        <v>80</v>
      </c>
      <c r="H7" s="4">
        <v>254</v>
      </c>
      <c r="I7" s="4">
        <v>253.2</v>
      </c>
    </row>
    <row r="8" spans="2:9" x14ac:dyDescent="0.25">
      <c r="B8" s="4" t="s">
        <v>214</v>
      </c>
      <c r="C8" s="4">
        <v>1</v>
      </c>
      <c r="D8" s="4">
        <v>5</v>
      </c>
      <c r="E8" s="4">
        <v>5</v>
      </c>
      <c r="F8" s="4">
        <v>5</v>
      </c>
      <c r="G8" s="4">
        <v>5</v>
      </c>
      <c r="H8" s="4">
        <v>42.5</v>
      </c>
      <c r="I8" s="4">
        <v>42.5</v>
      </c>
    </row>
    <row r="9" spans="2:9" x14ac:dyDescent="0.25">
      <c r="B9" s="4" t="s">
        <v>2</v>
      </c>
      <c r="C9" s="4">
        <v>4000</v>
      </c>
      <c r="D9" s="4">
        <v>4000</v>
      </c>
      <c r="E9" s="4">
        <v>4000</v>
      </c>
      <c r="F9" s="4">
        <v>2400</v>
      </c>
      <c r="G9" s="4">
        <v>1600</v>
      </c>
      <c r="H9" s="4">
        <v>1000</v>
      </c>
      <c r="I9" s="4">
        <v>1000</v>
      </c>
    </row>
    <row r="10" spans="2:9" x14ac:dyDescent="0.25">
      <c r="B10" s="4" t="s">
        <v>3</v>
      </c>
      <c r="C10" s="4">
        <v>128.80000000000001</v>
      </c>
      <c r="D10" s="4">
        <v>128.80000000000001</v>
      </c>
      <c r="E10" s="4">
        <v>128.80000000000001</v>
      </c>
      <c r="F10" s="4">
        <v>39.94</v>
      </c>
      <c r="G10" s="4">
        <v>88.86</v>
      </c>
      <c r="H10" s="4">
        <v>55.5</v>
      </c>
      <c r="I10" s="4">
        <v>55.5</v>
      </c>
    </row>
    <row r="11" spans="2:9" x14ac:dyDescent="0.25">
      <c r="B11" s="4" t="s">
        <v>215</v>
      </c>
      <c r="C11" s="4">
        <v>4.5880000000000001</v>
      </c>
      <c r="D11" s="4">
        <v>4.5880000000000001</v>
      </c>
      <c r="E11" s="4">
        <v>4.5880000000000001</v>
      </c>
      <c r="F11" s="4">
        <v>2.9849999999999999</v>
      </c>
      <c r="G11" s="4">
        <v>1.603</v>
      </c>
      <c r="H11" s="4">
        <v>1</v>
      </c>
    </row>
    <row r="13" spans="2:9" x14ac:dyDescent="0.25">
      <c r="B13" s="4" t="s">
        <v>212</v>
      </c>
    </row>
    <row r="14" spans="2:9" x14ac:dyDescent="0.25">
      <c r="B14" s="4" t="s">
        <v>213</v>
      </c>
    </row>
    <row r="15" spans="2:9" x14ac:dyDescent="0.25">
      <c r="B15" s="4" t="s">
        <v>210</v>
      </c>
      <c r="C15" s="4">
        <v>0.4</v>
      </c>
      <c r="D15" s="4">
        <v>0.4</v>
      </c>
      <c r="F15" s="4">
        <v>0</v>
      </c>
      <c r="G15" s="4">
        <v>1</v>
      </c>
      <c r="H15" s="4">
        <v>1</v>
      </c>
      <c r="I15" s="4">
        <v>1</v>
      </c>
    </row>
    <row r="16" spans="2:9" x14ac:dyDescent="0.25">
      <c r="B16" s="4" t="s">
        <v>211</v>
      </c>
      <c r="C16" s="4">
        <v>0.6</v>
      </c>
      <c r="D16" s="4">
        <v>0.6</v>
      </c>
      <c r="F16" s="4">
        <v>1</v>
      </c>
      <c r="G16" s="4">
        <v>0</v>
      </c>
      <c r="H16" s="4">
        <v>0</v>
      </c>
      <c r="I16" s="4">
        <v>0</v>
      </c>
    </row>
    <row r="18" spans="2:9" x14ac:dyDescent="0.25">
      <c r="B18" s="4" t="s">
        <v>5</v>
      </c>
      <c r="C18" s="4" t="s">
        <v>6</v>
      </c>
      <c r="E18" s="4" t="s">
        <v>14</v>
      </c>
      <c r="F18" s="4" t="s">
        <v>15</v>
      </c>
      <c r="H18" s="4" t="s">
        <v>16</v>
      </c>
      <c r="I18" s="4" t="s">
        <v>17</v>
      </c>
    </row>
    <row r="20" spans="2:9" x14ac:dyDescent="0.25">
      <c r="B20" s="4" t="s">
        <v>4</v>
      </c>
      <c r="C20" s="4">
        <f>C11</f>
        <v>4.5880000000000001</v>
      </c>
      <c r="E20" s="4" t="s">
        <v>4</v>
      </c>
      <c r="F20" s="4">
        <f>D11</f>
        <v>4.5880000000000001</v>
      </c>
      <c r="H20" s="4" t="s">
        <v>4</v>
      </c>
      <c r="I20" s="4">
        <f>E11</f>
        <v>4.5880000000000001</v>
      </c>
    </row>
    <row r="22" spans="2:9" x14ac:dyDescent="0.25">
      <c r="B22" s="4" t="s">
        <v>7</v>
      </c>
      <c r="C22" s="4">
        <v>857.7</v>
      </c>
      <c r="E22" s="4" t="s">
        <v>222</v>
      </c>
      <c r="F22" s="4" t="s">
        <v>221</v>
      </c>
      <c r="H22" s="4" t="s">
        <v>224</v>
      </c>
      <c r="I22" s="4">
        <f>1/4</f>
        <v>0.25</v>
      </c>
    </row>
    <row r="24" spans="2:9" x14ac:dyDescent="0.25">
      <c r="B24" s="4" t="s">
        <v>12</v>
      </c>
      <c r="E24" s="4" t="s">
        <v>223</v>
      </c>
      <c r="F24" s="4">
        <v>60.32</v>
      </c>
      <c r="H24" s="4" t="s">
        <v>225</v>
      </c>
      <c r="I24" s="4">
        <v>3</v>
      </c>
    </row>
    <row r="26" spans="2:9" x14ac:dyDescent="0.25">
      <c r="B26" s="4" t="s">
        <v>8</v>
      </c>
      <c r="C26" s="4" t="s">
        <v>220</v>
      </c>
      <c r="E26" s="4" t="s">
        <v>13</v>
      </c>
      <c r="F26" s="4" t="s">
        <v>218</v>
      </c>
      <c r="H26" s="4" t="s">
        <v>226</v>
      </c>
      <c r="I26" s="4">
        <v>0.7</v>
      </c>
    </row>
    <row r="28" spans="2:9" x14ac:dyDescent="0.25">
      <c r="B28" s="4" t="s">
        <v>9</v>
      </c>
      <c r="E28" s="4" t="s">
        <v>18</v>
      </c>
      <c r="F28" s="4">
        <f>D7</f>
        <v>25.14</v>
      </c>
      <c r="H28" s="4" t="s">
        <v>13</v>
      </c>
      <c r="I28" s="4" t="s">
        <v>227</v>
      </c>
    </row>
    <row r="30" spans="2:9" x14ac:dyDescent="0.25">
      <c r="B30" s="4" t="s">
        <v>13</v>
      </c>
      <c r="C30" s="4" t="s">
        <v>218</v>
      </c>
      <c r="E30" s="4" t="s">
        <v>19</v>
      </c>
      <c r="F30" s="4">
        <f>E7</f>
        <v>80</v>
      </c>
      <c r="H30" s="4" t="s">
        <v>10</v>
      </c>
      <c r="I30" s="4">
        <f>E8</f>
        <v>5</v>
      </c>
    </row>
    <row r="32" spans="2:9" x14ac:dyDescent="0.25">
      <c r="B32" s="4" t="s">
        <v>18</v>
      </c>
      <c r="C32" s="4">
        <f>C7</f>
        <v>25</v>
      </c>
      <c r="E32" s="4" t="s">
        <v>10</v>
      </c>
      <c r="F32" s="4">
        <f>D8</f>
        <v>5</v>
      </c>
      <c r="H32" s="4" t="s">
        <v>11</v>
      </c>
      <c r="I32" s="4">
        <f>F8</f>
        <v>5</v>
      </c>
    </row>
    <row r="34" spans="2:6" x14ac:dyDescent="0.25">
      <c r="B34" s="4" t="s">
        <v>19</v>
      </c>
      <c r="C34" s="4">
        <f>D7</f>
        <v>25.14</v>
      </c>
      <c r="E34" s="4" t="s">
        <v>11</v>
      </c>
      <c r="F34" s="4">
        <f>E8</f>
        <v>5</v>
      </c>
    </row>
    <row r="36" spans="2:6" x14ac:dyDescent="0.25">
      <c r="B36" s="4" t="s">
        <v>216</v>
      </c>
      <c r="C36" s="4">
        <f>C8</f>
        <v>1</v>
      </c>
    </row>
    <row r="38" spans="2:6" x14ac:dyDescent="0.25">
      <c r="B38" s="4" t="s">
        <v>217</v>
      </c>
      <c r="C38" s="4">
        <f>D8</f>
        <v>5</v>
      </c>
    </row>
    <row r="40" spans="2:6" x14ac:dyDescent="0.25">
      <c r="B40" s="4" t="s">
        <v>219</v>
      </c>
      <c r="C40" s="4">
        <v>48.19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/>
  </sheetViews>
  <sheetFormatPr defaultRowHeight="15" x14ac:dyDescent="0.25"/>
  <cols>
    <col min="1" max="1" width="33.42578125" style="4" bestFit="1" customWidth="1"/>
    <col min="2" max="2" width="11" style="4" bestFit="1" customWidth="1"/>
    <col min="3" max="3" width="15.42578125" style="4" bestFit="1" customWidth="1"/>
    <col min="4" max="4" width="9.140625" style="4"/>
    <col min="5" max="5" width="33.42578125" style="4" bestFit="1" customWidth="1"/>
    <col min="6" max="6" width="9.140625" style="4"/>
    <col min="7" max="7" width="15.42578125" style="4" bestFit="1" customWidth="1"/>
    <col min="8" max="8" width="9.140625" style="4"/>
    <col min="9" max="9" width="27.85546875" style="4" bestFit="1" customWidth="1"/>
    <col min="10" max="10" width="9.140625" style="4"/>
    <col min="11" max="11" width="20.42578125" style="4" bestFit="1" customWidth="1"/>
    <col min="12" max="16384" width="9.140625" style="4"/>
  </cols>
  <sheetData>
    <row r="1" spans="1:11" x14ac:dyDescent="0.25">
      <c r="A1" s="2" t="s">
        <v>32</v>
      </c>
      <c r="E1" s="2" t="s">
        <v>49</v>
      </c>
      <c r="I1" s="2" t="s">
        <v>58</v>
      </c>
    </row>
    <row r="3" spans="1:11" x14ac:dyDescent="0.25">
      <c r="A3" s="1" t="s">
        <v>31</v>
      </c>
      <c r="E3" s="1" t="s">
        <v>59</v>
      </c>
      <c r="I3" s="1" t="s">
        <v>61</v>
      </c>
    </row>
    <row r="5" spans="1:11" x14ac:dyDescent="0.25">
      <c r="A5" s="4" t="s">
        <v>21</v>
      </c>
      <c r="B5" s="3">
        <f>Πίνακες!C20/3600</f>
        <v>1.2744444444444444E-3</v>
      </c>
      <c r="C5" s="4" t="s">
        <v>23</v>
      </c>
      <c r="I5" s="4" t="s">
        <v>21</v>
      </c>
      <c r="J5" s="3">
        <f>Πίνακες!E11</f>
        <v>4.5880000000000001</v>
      </c>
      <c r="K5" s="4" t="s">
        <v>204</v>
      </c>
    </row>
    <row r="6" spans="1:11" x14ac:dyDescent="0.25">
      <c r="A6" s="4" t="s">
        <v>22</v>
      </c>
      <c r="B6" s="3">
        <f>Πίνακες!C40</f>
        <v>48.19</v>
      </c>
      <c r="C6" s="4" t="s">
        <v>24</v>
      </c>
      <c r="I6" s="4" t="s">
        <v>205</v>
      </c>
      <c r="J6" s="3">
        <f>Πίνακες!I22</f>
        <v>0.25</v>
      </c>
      <c r="K6" s="4" t="s">
        <v>205</v>
      </c>
    </row>
    <row r="7" spans="1:11" x14ac:dyDescent="0.25">
      <c r="A7" s="4" t="s">
        <v>20</v>
      </c>
      <c r="B7" s="4">
        <f>B5*(B6*9.81)^0.5</f>
        <v>2.7709830887631036E-2</v>
      </c>
      <c r="C7" s="4" t="s">
        <v>50</v>
      </c>
      <c r="E7" s="4" t="s">
        <v>40</v>
      </c>
      <c r="F7" s="3">
        <f>Πίνακες!F24</f>
        <v>60.32</v>
      </c>
      <c r="G7" s="4" t="s">
        <v>24</v>
      </c>
      <c r="I7" s="4" t="s">
        <v>203</v>
      </c>
      <c r="J7" s="4">
        <f>J5*J6</f>
        <v>1.147</v>
      </c>
      <c r="K7" s="4" t="s">
        <v>206</v>
      </c>
    </row>
    <row r="8" spans="1:11" x14ac:dyDescent="0.25">
      <c r="I8" s="4" t="s">
        <v>207</v>
      </c>
      <c r="J8" s="4">
        <v>5</v>
      </c>
      <c r="K8" s="4" t="s">
        <v>208</v>
      </c>
    </row>
    <row r="9" spans="1:11" x14ac:dyDescent="0.25">
      <c r="A9" s="4" t="s">
        <v>26</v>
      </c>
      <c r="B9" s="4">
        <f>EXP(7.2234+0.3451*LN(B7)+0.0519*(LN(B7))^2)</f>
        <v>775.31793583962565</v>
      </c>
      <c r="C9" s="4" t="s">
        <v>25</v>
      </c>
      <c r="E9" s="4" t="s">
        <v>26</v>
      </c>
      <c r="F9" s="4">
        <f>EXP(8.202+0.01506*LN(F7)+0.06811*(LN(F7))^2)</f>
        <v>12191.353286029325</v>
      </c>
    </row>
    <row r="10" spans="1:11" x14ac:dyDescent="0.25">
      <c r="I10" s="4" t="s">
        <v>209</v>
      </c>
      <c r="J10" s="3">
        <v>3</v>
      </c>
      <c r="K10" s="4" t="s">
        <v>24</v>
      </c>
    </row>
    <row r="11" spans="1:11" x14ac:dyDescent="0.25">
      <c r="A11" s="4" t="s">
        <v>27</v>
      </c>
      <c r="B11" s="3">
        <v>2</v>
      </c>
      <c r="C11" s="4" t="s">
        <v>55</v>
      </c>
      <c r="E11" s="4" t="s">
        <v>51</v>
      </c>
      <c r="F11" s="4">
        <f>EXP(-0.9003+0.0906*LN(F7))</f>
        <v>0.58927019425765492</v>
      </c>
      <c r="G11" s="4" t="s">
        <v>52</v>
      </c>
      <c r="I11" s="4" t="s">
        <v>60</v>
      </c>
      <c r="J11" s="3">
        <v>0.7</v>
      </c>
      <c r="K11" s="4" t="s">
        <v>24</v>
      </c>
    </row>
    <row r="12" spans="1:11" x14ac:dyDescent="0.25">
      <c r="A12" s="4" t="s">
        <v>28</v>
      </c>
      <c r="B12" s="3">
        <v>1</v>
      </c>
      <c r="C12" s="4" t="s">
        <v>29</v>
      </c>
      <c r="E12" s="4" t="s">
        <v>53</v>
      </c>
      <c r="F12" s="4">
        <v>1</v>
      </c>
      <c r="G12" s="4" t="s">
        <v>54</v>
      </c>
    </row>
    <row r="13" spans="1:11" x14ac:dyDescent="0.25">
      <c r="E13" s="4" t="s">
        <v>27</v>
      </c>
      <c r="F13" s="4">
        <f>1.1991+0.15984*LN(F7)</f>
        <v>1.8543902495961602</v>
      </c>
      <c r="G13" s="4" t="s">
        <v>55</v>
      </c>
      <c r="I13" s="4" t="s">
        <v>62</v>
      </c>
      <c r="J13" s="4">
        <f>935.6*(J10^0.81)*(J11^1.05)</f>
        <v>1566.4313684441222</v>
      </c>
      <c r="K13" s="4" t="s">
        <v>25</v>
      </c>
    </row>
    <row r="14" spans="1:11" x14ac:dyDescent="0.25">
      <c r="A14" s="4" t="s">
        <v>56</v>
      </c>
      <c r="B14" s="4">
        <f>B11*B9</f>
        <v>1550.6358716792513</v>
      </c>
      <c r="C14" s="4" t="s">
        <v>25</v>
      </c>
      <c r="E14" s="4" t="s">
        <v>30</v>
      </c>
      <c r="F14" s="4">
        <f>F9*F11*F12*F13</f>
        <v>13321.941628388111</v>
      </c>
      <c r="G14" s="4" t="s">
        <v>25</v>
      </c>
    </row>
    <row r="15" spans="1:11" x14ac:dyDescent="0.25">
      <c r="I15" s="4" t="s">
        <v>27</v>
      </c>
      <c r="J15" s="3">
        <v>2.25</v>
      </c>
      <c r="K15" s="4" t="s">
        <v>63</v>
      </c>
    </row>
    <row r="16" spans="1:11" x14ac:dyDescent="0.25">
      <c r="A16" s="2" t="s">
        <v>33</v>
      </c>
      <c r="E16" s="4" t="s">
        <v>47</v>
      </c>
      <c r="F16" s="3">
        <v>599</v>
      </c>
      <c r="I16" s="4" t="s">
        <v>53</v>
      </c>
      <c r="J16" s="3">
        <v>1.05</v>
      </c>
      <c r="K16" s="4" t="s">
        <v>64</v>
      </c>
    </row>
    <row r="17" spans="1:11" x14ac:dyDescent="0.25">
      <c r="E17" s="4" t="s">
        <v>48</v>
      </c>
      <c r="F17" s="3">
        <v>1245</v>
      </c>
      <c r="I17" s="4" t="s">
        <v>65</v>
      </c>
      <c r="J17" s="3">
        <v>4.2300000000000004</v>
      </c>
    </row>
    <row r="18" spans="1:11" x14ac:dyDescent="0.25">
      <c r="A18" s="4" t="s">
        <v>35</v>
      </c>
      <c r="B18" s="3">
        <v>857.7</v>
      </c>
      <c r="C18" s="4" t="s">
        <v>36</v>
      </c>
    </row>
    <row r="19" spans="1:11" x14ac:dyDescent="0.25">
      <c r="A19" s="4" t="s">
        <v>37</v>
      </c>
      <c r="B19" s="4">
        <f>0.885+0.00824*(LN(B5))-0.01199*(LN(B5))^2</f>
        <v>0.29741675776448151</v>
      </c>
      <c r="C19" s="6" t="s">
        <v>38</v>
      </c>
      <c r="E19" s="4" t="s">
        <v>57</v>
      </c>
      <c r="F19" s="4">
        <f>F14*F17/F16</f>
        <v>27689.177508085471</v>
      </c>
      <c r="G19" s="4" t="s">
        <v>25</v>
      </c>
      <c r="I19" s="4" t="s">
        <v>66</v>
      </c>
      <c r="J19" s="4">
        <f>((J17-1)+J15*J16)*J13</f>
        <v>8760.2674280237552</v>
      </c>
      <c r="K19" s="4" t="s">
        <v>25</v>
      </c>
    </row>
    <row r="20" spans="1:11" x14ac:dyDescent="0.25">
      <c r="A20" s="4" t="s">
        <v>34</v>
      </c>
      <c r="B20" s="4">
        <f>B18*B5*B6*9.81/B19</f>
        <v>1737.4680104747354</v>
      </c>
      <c r="C20" s="4" t="s">
        <v>39</v>
      </c>
    </row>
    <row r="21" spans="1:11" x14ac:dyDescent="0.25">
      <c r="A21" s="4" t="s">
        <v>43</v>
      </c>
      <c r="B21" s="4">
        <f>B20/745.7</f>
        <v>2.3299825807626866</v>
      </c>
      <c r="C21" s="4" t="s">
        <v>43</v>
      </c>
      <c r="I21" s="4" t="s">
        <v>47</v>
      </c>
      <c r="J21" s="3">
        <v>273</v>
      </c>
    </row>
    <row r="22" spans="1:11" x14ac:dyDescent="0.25">
      <c r="I22" s="4" t="s">
        <v>48</v>
      </c>
      <c r="J22" s="3">
        <v>1245</v>
      </c>
    </row>
    <row r="23" spans="1:11" x14ac:dyDescent="0.25">
      <c r="A23" s="4" t="s">
        <v>40</v>
      </c>
      <c r="B23" s="3">
        <v>5.1058000000000003</v>
      </c>
    </row>
    <row r="24" spans="1:11" x14ac:dyDescent="0.25">
      <c r="A24" s="4" t="s">
        <v>41</v>
      </c>
      <c r="B24" s="3">
        <v>3.3160000000000002E-2</v>
      </c>
      <c r="I24" s="4" t="s">
        <v>57</v>
      </c>
      <c r="J24" s="4">
        <f>J19*J22/J21</f>
        <v>39950.670138789654</v>
      </c>
      <c r="K24" s="4" t="s">
        <v>25</v>
      </c>
    </row>
    <row r="25" spans="1:11" x14ac:dyDescent="0.25">
      <c r="A25" s="4" t="s">
        <v>42</v>
      </c>
      <c r="B25" s="3">
        <v>0.15373999999999999</v>
      </c>
    </row>
    <row r="27" spans="1:11" x14ac:dyDescent="0.25">
      <c r="A27" s="4" t="s">
        <v>26</v>
      </c>
      <c r="B27" s="4">
        <f>EXP(B23+B24*(LN(B21))+B25*(LN(B21))^2)</f>
        <v>189.39725975570391</v>
      </c>
      <c r="C27" s="4" t="s">
        <v>25</v>
      </c>
    </row>
    <row r="29" spans="1:11" x14ac:dyDescent="0.25">
      <c r="A29" s="4" t="s">
        <v>44</v>
      </c>
      <c r="B29" s="4">
        <f>0.8+0.0319*LN(B20)-0.00182*(LN(B20))^2</f>
        <v>0.9366889619165919</v>
      </c>
    </row>
    <row r="30" spans="1:11" x14ac:dyDescent="0.25">
      <c r="A30" s="4" t="s">
        <v>45</v>
      </c>
      <c r="B30" s="4">
        <f>B20/B29</f>
        <v>1854.9039020590587</v>
      </c>
      <c r="C30" s="4" t="s">
        <v>39</v>
      </c>
    </row>
    <row r="32" spans="1:11" x14ac:dyDescent="0.25">
      <c r="A32" s="4" t="s">
        <v>46</v>
      </c>
      <c r="B32" s="4">
        <f>B14+B27</f>
        <v>1740.0331314349553</v>
      </c>
      <c r="C32" s="4" t="s">
        <v>25</v>
      </c>
    </row>
    <row r="34" spans="1:3" x14ac:dyDescent="0.25">
      <c r="A34" s="4" t="s">
        <v>47</v>
      </c>
      <c r="B34" s="3">
        <v>599</v>
      </c>
    </row>
    <row r="35" spans="1:3" x14ac:dyDescent="0.25">
      <c r="A35" s="4" t="s">
        <v>48</v>
      </c>
      <c r="B35" s="3">
        <v>1245</v>
      </c>
    </row>
    <row r="37" spans="1:3" x14ac:dyDescent="0.25">
      <c r="A37" s="4" t="s">
        <v>57</v>
      </c>
      <c r="B37" s="4">
        <f>B32*B35/B34</f>
        <v>3616.5964084082129</v>
      </c>
      <c r="C37" s="4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RowHeight="15" x14ac:dyDescent="0.25"/>
  <cols>
    <col min="1" max="1" width="17.85546875" style="4" bestFit="1" customWidth="1"/>
    <col min="2" max="2" width="12" style="4" bestFit="1" customWidth="1"/>
    <col min="3" max="3" width="9.140625" style="4"/>
    <col min="4" max="4" width="29.42578125" style="4" customWidth="1"/>
    <col min="5" max="5" width="25.5703125" style="4" customWidth="1"/>
    <col min="6" max="16384" width="9.140625" style="4"/>
  </cols>
  <sheetData>
    <row r="1" spans="1:7" x14ac:dyDescent="0.25">
      <c r="A1" s="2" t="s">
        <v>239</v>
      </c>
      <c r="D1" s="2" t="s">
        <v>240</v>
      </c>
    </row>
    <row r="2" spans="1:7" ht="15.75" thickBot="1" x14ac:dyDescent="0.3"/>
    <row r="3" spans="1:7" ht="15.75" thickBot="1" x14ac:dyDescent="0.3">
      <c r="A3" s="4" t="s">
        <v>180</v>
      </c>
      <c r="B3" s="4">
        <f>1.2*(Εξοπλισμός!B37+Εξοπλισμός!F19+Εξοπλισμός!J24)</f>
        <v>85507.732866340011</v>
      </c>
      <c r="D3" s="7" t="s">
        <v>68</v>
      </c>
      <c r="E3" s="8"/>
    </row>
    <row r="4" spans="1:7" ht="15.75" thickBot="1" x14ac:dyDescent="0.3">
      <c r="D4" s="9" t="s">
        <v>69</v>
      </c>
      <c r="E4" s="9" t="s">
        <v>70</v>
      </c>
      <c r="G4" s="3">
        <f>Εξοπλισμός!B37+Εξοπλισμός!F19+Εξοπλισμός!J24</f>
        <v>71256.44405528334</v>
      </c>
    </row>
    <row r="5" spans="1:7" ht="15.75" thickBot="1" x14ac:dyDescent="0.3">
      <c r="D5" s="9" t="s">
        <v>71</v>
      </c>
      <c r="E5" s="9" t="s">
        <v>72</v>
      </c>
      <c r="G5" s="4">
        <f>0.47*G4</f>
        <v>33490.528705983168</v>
      </c>
    </row>
    <row r="6" spans="1:7" ht="15.75" thickBot="1" x14ac:dyDescent="0.3">
      <c r="D6" s="9" t="s">
        <v>73</v>
      </c>
      <c r="E6" s="9" t="s">
        <v>74</v>
      </c>
      <c r="G6" s="4">
        <f>0.36*G4</f>
        <v>25652.319859902</v>
      </c>
    </row>
    <row r="7" spans="1:7" ht="15.75" thickBot="1" x14ac:dyDescent="0.3">
      <c r="D7" s="9" t="s">
        <v>75</v>
      </c>
      <c r="E7" s="9" t="s">
        <v>76</v>
      </c>
      <c r="G7" s="4">
        <f>0.68*G4</f>
        <v>48454.381957592675</v>
      </c>
    </row>
    <row r="8" spans="1:7" ht="15.75" thickBot="1" x14ac:dyDescent="0.3">
      <c r="D8" s="9" t="s">
        <v>77</v>
      </c>
      <c r="E8" s="9" t="s">
        <v>78</v>
      </c>
      <c r="G8" s="4">
        <f>0.08*G4</f>
        <v>5700.5155244226671</v>
      </c>
    </row>
    <row r="9" spans="1:7" ht="15.75" thickBot="1" x14ac:dyDescent="0.3">
      <c r="D9" s="9" t="s">
        <v>79</v>
      </c>
      <c r="E9" s="9" t="s">
        <v>80</v>
      </c>
      <c r="G9" s="4">
        <f>0.11*G4</f>
        <v>7838.2088460811674</v>
      </c>
    </row>
    <row r="10" spans="1:7" ht="15.75" thickBot="1" x14ac:dyDescent="0.3">
      <c r="D10" s="9" t="s">
        <v>81</v>
      </c>
      <c r="E10" s="9" t="s">
        <v>82</v>
      </c>
      <c r="G10" s="4">
        <f>0.18*G4</f>
        <v>12826.159929951</v>
      </c>
    </row>
    <row r="11" spans="1:7" ht="15.75" thickBot="1" x14ac:dyDescent="0.3">
      <c r="D11" s="9" t="s">
        <v>83</v>
      </c>
      <c r="E11" s="9" t="s">
        <v>84</v>
      </c>
      <c r="G11" s="4">
        <f>0.1*G4</f>
        <v>7125.6444055283346</v>
      </c>
    </row>
    <row r="12" spans="1:7" ht="15.75" thickBot="1" x14ac:dyDescent="0.3">
      <c r="D12" s="9" t="s">
        <v>85</v>
      </c>
      <c r="E12" s="9" t="s">
        <v>86</v>
      </c>
      <c r="G12" s="4">
        <f>0.7*G4</f>
        <v>49879.510838698334</v>
      </c>
    </row>
    <row r="13" spans="1:7" ht="15.75" thickBot="1" x14ac:dyDescent="0.3">
      <c r="D13" s="9" t="s">
        <v>87</v>
      </c>
      <c r="E13" s="9" t="s">
        <v>88</v>
      </c>
      <c r="G13" s="4">
        <f>0.06*G4</f>
        <v>4275.3866433170006</v>
      </c>
    </row>
    <row r="14" spans="1:7" ht="15.75" thickBot="1" x14ac:dyDescent="0.3">
      <c r="D14" s="8"/>
      <c r="E14" s="8"/>
    </row>
    <row r="15" spans="1:7" ht="15.75" thickBot="1" x14ac:dyDescent="0.3">
      <c r="D15" s="7" t="s">
        <v>89</v>
      </c>
      <c r="E15" s="8"/>
    </row>
    <row r="16" spans="1:7" ht="30.75" thickBot="1" x14ac:dyDescent="0.3">
      <c r="D16" s="9" t="s">
        <v>90</v>
      </c>
      <c r="E16" s="9" t="s">
        <v>91</v>
      </c>
      <c r="G16" s="4">
        <f>0.33*G4</f>
        <v>23514.626538243505</v>
      </c>
    </row>
    <row r="17" spans="4:7" ht="15.75" thickBot="1" x14ac:dyDescent="0.3">
      <c r="D17" s="9" t="s">
        <v>92</v>
      </c>
      <c r="E17" s="9" t="s">
        <v>93</v>
      </c>
      <c r="G17" s="4">
        <f>0.41*G4</f>
        <v>29215.142062666167</v>
      </c>
    </row>
    <row r="18" spans="4:7" ht="15.75" thickBot="1" x14ac:dyDescent="0.3">
      <c r="D18" s="8"/>
      <c r="E18" s="8"/>
    </row>
    <row r="19" spans="4:7" ht="15.75" thickBot="1" x14ac:dyDescent="0.3">
      <c r="D19" s="7" t="s">
        <v>94</v>
      </c>
      <c r="E19" s="8"/>
    </row>
    <row r="20" spans="4:7" ht="15.75" thickBot="1" x14ac:dyDescent="0.3">
      <c r="D20" s="9" t="s">
        <v>95</v>
      </c>
      <c r="E20" s="9" t="s">
        <v>96</v>
      </c>
      <c r="G20" s="4">
        <f>0.04*G4</f>
        <v>2850.2577622113336</v>
      </c>
    </row>
    <row r="21" spans="4:7" ht="15.75" thickBot="1" x14ac:dyDescent="0.3">
      <c r="D21" s="9" t="s">
        <v>97</v>
      </c>
      <c r="E21" s="9" t="s">
        <v>98</v>
      </c>
      <c r="G21" s="4">
        <f>0.22*G4</f>
        <v>15676.417692162335</v>
      </c>
    </row>
    <row r="22" spans="4:7" ht="15.75" thickBot="1" x14ac:dyDescent="0.3">
      <c r="D22" s="9" t="s">
        <v>99</v>
      </c>
      <c r="E22" s="9" t="s">
        <v>100</v>
      </c>
      <c r="G22" s="4">
        <f>0.44*G4</f>
        <v>31352.83538432467</v>
      </c>
    </row>
    <row r="23" spans="4:7" ht="15.75" thickBot="1" x14ac:dyDescent="0.3">
      <c r="D23" s="8"/>
      <c r="E23" s="8"/>
    </row>
    <row r="24" spans="4:7" ht="15.75" thickBot="1" x14ac:dyDescent="0.3">
      <c r="D24" s="7" t="s">
        <v>101</v>
      </c>
      <c r="E24" s="8"/>
    </row>
    <row r="25" spans="4:7" ht="30.75" thickBot="1" x14ac:dyDescent="0.3">
      <c r="D25" s="9" t="s">
        <v>102</v>
      </c>
      <c r="E25" s="9" t="s">
        <v>103</v>
      </c>
      <c r="G25" s="4">
        <f>SUM(G4:G13)+SUM(G16:G17)+SUM(G20:G22)</f>
        <v>369108.3802063677</v>
      </c>
    </row>
    <row r="26" spans="4:7" ht="15.75" thickBot="1" x14ac:dyDescent="0.3">
      <c r="D26" s="9" t="s">
        <v>104</v>
      </c>
      <c r="E26" s="9" t="s">
        <v>105</v>
      </c>
      <c r="G26" s="4">
        <f>0.15*G25</f>
        <v>55366.257030955152</v>
      </c>
    </row>
    <row r="27" spans="4:7" ht="30.75" thickBot="1" x14ac:dyDescent="0.3">
      <c r="D27" s="9" t="s">
        <v>106</v>
      </c>
      <c r="E27" s="9" t="s">
        <v>107</v>
      </c>
      <c r="G27" s="4">
        <f>G26+G25</f>
        <v>424474.63723732287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28" sqref="G28"/>
    </sheetView>
  </sheetViews>
  <sheetFormatPr defaultRowHeight="15" x14ac:dyDescent="0.25"/>
  <cols>
    <col min="1" max="1" width="19.28515625" style="4" bestFit="1" customWidth="1"/>
    <col min="2" max="2" width="12" style="4" bestFit="1" customWidth="1"/>
    <col min="3" max="3" width="9.140625" style="4"/>
    <col min="4" max="4" width="10.5703125" style="4" bestFit="1" customWidth="1"/>
    <col min="5" max="6" width="9.140625" style="10"/>
    <col min="7" max="7" width="32.5703125" style="4" bestFit="1" customWidth="1"/>
    <col min="8" max="8" width="15" style="4" bestFit="1" customWidth="1"/>
    <col min="9" max="9" width="32.42578125" style="4" customWidth="1"/>
    <col min="10" max="10" width="10" style="4" bestFit="1" customWidth="1"/>
    <col min="11" max="11" width="9.140625" style="4"/>
    <col min="12" max="12" width="10.42578125" style="4" bestFit="1" customWidth="1"/>
    <col min="13" max="16384" width="9.140625" style="4"/>
  </cols>
  <sheetData>
    <row r="1" spans="1:12" x14ac:dyDescent="0.25">
      <c r="A1" s="4" t="s">
        <v>129</v>
      </c>
      <c r="B1" s="4">
        <f>8760*0.91666</f>
        <v>8029.9416000000001</v>
      </c>
      <c r="C1" s="4" t="s">
        <v>131</v>
      </c>
      <c r="D1" s="2" t="s">
        <v>239</v>
      </c>
    </row>
    <row r="2" spans="1:12" x14ac:dyDescent="0.25">
      <c r="B2" s="4">
        <f>B1/8760</f>
        <v>0.91666000000000003</v>
      </c>
      <c r="D2" s="2" t="s">
        <v>239</v>
      </c>
      <c r="G2" s="4" t="s">
        <v>132</v>
      </c>
    </row>
    <row r="3" spans="1:12" x14ac:dyDescent="0.25">
      <c r="A3" s="2" t="s">
        <v>112</v>
      </c>
      <c r="D3" s="2" t="s">
        <v>239</v>
      </c>
      <c r="G3" s="4" t="s">
        <v>133</v>
      </c>
      <c r="H3" s="4" t="s">
        <v>179</v>
      </c>
      <c r="J3" s="11">
        <f>B9+B18</f>
        <v>257091749.42822403</v>
      </c>
      <c r="L3" s="2" t="s">
        <v>240</v>
      </c>
    </row>
    <row r="4" spans="1:12" x14ac:dyDescent="0.25">
      <c r="D4" s="2" t="s">
        <v>239</v>
      </c>
      <c r="G4" s="4" t="s">
        <v>134</v>
      </c>
      <c r="H4" s="4" t="s">
        <v>110</v>
      </c>
      <c r="J4" s="3">
        <f>B25</f>
        <v>100000</v>
      </c>
      <c r="L4" s="2" t="s">
        <v>240</v>
      </c>
    </row>
    <row r="5" spans="1:12" x14ac:dyDescent="0.25">
      <c r="A5" s="4" t="s">
        <v>115</v>
      </c>
      <c r="B5" s="3">
        <f>Πίνακες!C9</f>
        <v>4000</v>
      </c>
      <c r="C5" s="4" t="s">
        <v>113</v>
      </c>
      <c r="D5" s="2" t="s">
        <v>239</v>
      </c>
      <c r="G5" s="4" t="s">
        <v>135</v>
      </c>
      <c r="H5" s="4" t="s">
        <v>136</v>
      </c>
      <c r="I5" s="4" t="s">
        <v>137</v>
      </c>
      <c r="J5" s="4">
        <f>0.15*J4</f>
        <v>15000</v>
      </c>
      <c r="L5" s="2" t="s">
        <v>240</v>
      </c>
    </row>
    <row r="6" spans="1:12" x14ac:dyDescent="0.25">
      <c r="A6" s="4" t="s">
        <v>114</v>
      </c>
      <c r="B6" s="3">
        <v>8</v>
      </c>
      <c r="C6" s="4" t="s">
        <v>228</v>
      </c>
      <c r="D6" s="2" t="s">
        <v>239</v>
      </c>
      <c r="G6" s="4" t="s">
        <v>138</v>
      </c>
      <c r="H6" s="4" t="s">
        <v>139</v>
      </c>
      <c r="I6" s="4" t="s">
        <v>140</v>
      </c>
      <c r="J6" s="4">
        <f>0.15*'Κόστος Πάγιας Επένδυσης'!G25</f>
        <v>55366.257030955152</v>
      </c>
      <c r="L6" s="2" t="s">
        <v>240</v>
      </c>
    </row>
    <row r="7" spans="1:12" x14ac:dyDescent="0.25">
      <c r="D7" s="2" t="s">
        <v>239</v>
      </c>
      <c r="G7" s="4" t="s">
        <v>141</v>
      </c>
      <c r="H7" s="4" t="s">
        <v>142</v>
      </c>
      <c r="I7" s="4" t="s">
        <v>143</v>
      </c>
      <c r="J7" s="4">
        <f>0.15*J6</f>
        <v>8304.9385546432732</v>
      </c>
      <c r="L7" s="2" t="s">
        <v>240</v>
      </c>
    </row>
    <row r="8" spans="1:12" x14ac:dyDescent="0.25">
      <c r="A8" s="4" t="s">
        <v>108</v>
      </c>
      <c r="B8" s="4">
        <f>B6*B5</f>
        <v>32000</v>
      </c>
      <c r="C8" s="4" t="s">
        <v>229</v>
      </c>
      <c r="D8" s="2" t="s">
        <v>239</v>
      </c>
      <c r="G8" s="4" t="s">
        <v>144</v>
      </c>
      <c r="H8" s="4" t="s">
        <v>145</v>
      </c>
      <c r="I8" s="4" t="s">
        <v>146</v>
      </c>
      <c r="J8" s="4">
        <f>0.1*J4</f>
        <v>10000</v>
      </c>
      <c r="L8" s="2" t="s">
        <v>240</v>
      </c>
    </row>
    <row r="9" spans="1:12" x14ac:dyDescent="0.25">
      <c r="A9" s="4" t="s">
        <v>108</v>
      </c>
      <c r="B9" s="4">
        <f>B8*B1</f>
        <v>256958131.20000002</v>
      </c>
      <c r="C9" s="4" t="s">
        <v>230</v>
      </c>
      <c r="D9" s="2" t="s">
        <v>239</v>
      </c>
      <c r="G9" s="4" t="s">
        <v>147</v>
      </c>
      <c r="H9" s="4" t="s">
        <v>148</v>
      </c>
      <c r="I9" s="4" t="s">
        <v>149</v>
      </c>
      <c r="J9" s="4">
        <f>0.01*SUM(J3:J8)</f>
        <v>2572804.2062380966</v>
      </c>
      <c r="L9" s="2" t="s">
        <v>240</v>
      </c>
    </row>
    <row r="10" spans="1:12" x14ac:dyDescent="0.25">
      <c r="D10" s="2" t="s">
        <v>239</v>
      </c>
      <c r="G10" s="4" t="s">
        <v>150</v>
      </c>
      <c r="H10" s="4" t="s">
        <v>151</v>
      </c>
      <c r="J10" s="4">
        <f>SUM(J3:J9)</f>
        <v>259853224.83004773</v>
      </c>
      <c r="L10" s="2" t="s">
        <v>240</v>
      </c>
    </row>
    <row r="11" spans="1:12" x14ac:dyDescent="0.25">
      <c r="A11" s="2" t="s">
        <v>117</v>
      </c>
      <c r="D11" s="2" t="s">
        <v>239</v>
      </c>
      <c r="L11" s="2" t="s">
        <v>240</v>
      </c>
    </row>
    <row r="12" spans="1:12" x14ac:dyDescent="0.25">
      <c r="D12" s="2" t="s">
        <v>239</v>
      </c>
      <c r="G12" s="4" t="s">
        <v>152</v>
      </c>
      <c r="L12" s="2" t="s">
        <v>240</v>
      </c>
    </row>
    <row r="13" spans="1:12" x14ac:dyDescent="0.25">
      <c r="A13" s="4" t="s">
        <v>115</v>
      </c>
      <c r="B13" s="3">
        <f>Πίνακες!H9/1000</f>
        <v>1</v>
      </c>
      <c r="C13" s="4" t="s">
        <v>119</v>
      </c>
      <c r="D13" s="2" t="s">
        <v>239</v>
      </c>
      <c r="G13" s="4" t="s">
        <v>153</v>
      </c>
      <c r="H13" s="4" t="s">
        <v>154</v>
      </c>
      <c r="I13" s="4" t="s">
        <v>155</v>
      </c>
      <c r="J13" s="4">
        <f>0.01*'Κόστος Πάγιας Επένδυσης'!G25</f>
        <v>3691.083802063677</v>
      </c>
      <c r="L13" s="2" t="s">
        <v>240</v>
      </c>
    </row>
    <row r="14" spans="1:12" x14ac:dyDescent="0.25">
      <c r="A14" s="4" t="s">
        <v>114</v>
      </c>
      <c r="B14" s="3">
        <v>16.64</v>
      </c>
      <c r="C14" s="4" t="s">
        <v>118</v>
      </c>
      <c r="D14" s="2" t="s">
        <v>239</v>
      </c>
      <c r="G14" s="4" t="s">
        <v>156</v>
      </c>
      <c r="H14" s="4" t="s">
        <v>154</v>
      </c>
      <c r="I14" s="4" t="s">
        <v>155</v>
      </c>
      <c r="J14" s="4">
        <f>0.01*'Κόστος Πάγιας Επένδυσης'!G25</f>
        <v>3691.083802063677</v>
      </c>
      <c r="L14" s="2" t="s">
        <v>240</v>
      </c>
    </row>
    <row r="15" spans="1:12" x14ac:dyDescent="0.25">
      <c r="D15" s="2" t="s">
        <v>239</v>
      </c>
      <c r="G15" s="4" t="s">
        <v>157</v>
      </c>
      <c r="H15" s="4" t="s">
        <v>158</v>
      </c>
      <c r="I15" s="4" t="s">
        <v>159</v>
      </c>
      <c r="J15" s="4">
        <f>0.1*'Κόστος Πάγιας Επένδυσης'!G25</f>
        <v>36910.838020636773</v>
      </c>
      <c r="L15" s="2" t="s">
        <v>240</v>
      </c>
    </row>
    <row r="16" spans="1:12" x14ac:dyDescent="0.25">
      <c r="D16" s="2" t="s">
        <v>239</v>
      </c>
      <c r="G16" s="4" t="s">
        <v>160</v>
      </c>
      <c r="H16" s="4" t="s">
        <v>161</v>
      </c>
      <c r="I16" s="4" t="s">
        <v>162</v>
      </c>
      <c r="J16" s="4">
        <f>0.6*SUM(J4:J6)</f>
        <v>102219.7542185731</v>
      </c>
      <c r="L16" s="2" t="s">
        <v>240</v>
      </c>
    </row>
    <row r="17" spans="1:12" x14ac:dyDescent="0.25">
      <c r="A17" s="4" t="s">
        <v>109</v>
      </c>
      <c r="B17" s="4">
        <f>B14*B13</f>
        <v>16.64</v>
      </c>
      <c r="C17" s="4" t="s">
        <v>229</v>
      </c>
      <c r="D17" s="2" t="s">
        <v>239</v>
      </c>
      <c r="G17" s="4" t="s">
        <v>163</v>
      </c>
      <c r="H17" s="4" t="s">
        <v>164</v>
      </c>
      <c r="J17" s="4">
        <f>SUM(J13:J16)</f>
        <v>146512.75984333723</v>
      </c>
      <c r="L17" s="2" t="s">
        <v>240</v>
      </c>
    </row>
    <row r="18" spans="1:12" x14ac:dyDescent="0.25">
      <c r="A18" s="4" t="s">
        <v>109</v>
      </c>
      <c r="B18" s="4">
        <f>B17*B1</f>
        <v>133618.22822400002</v>
      </c>
      <c r="C18" s="4" t="s">
        <v>230</v>
      </c>
      <c r="D18" s="2" t="s">
        <v>239</v>
      </c>
      <c r="L18" s="2" t="s">
        <v>240</v>
      </c>
    </row>
    <row r="19" spans="1:12" x14ac:dyDescent="0.25">
      <c r="D19" s="2" t="s">
        <v>239</v>
      </c>
      <c r="G19" s="4" t="s">
        <v>165</v>
      </c>
      <c r="L19" s="2" t="s">
        <v>240</v>
      </c>
    </row>
    <row r="20" spans="1:12" x14ac:dyDescent="0.25">
      <c r="A20" s="2" t="s">
        <v>121</v>
      </c>
      <c r="D20" s="2" t="s">
        <v>239</v>
      </c>
      <c r="G20" s="4" t="s">
        <v>166</v>
      </c>
      <c r="H20" s="4" t="s">
        <v>167</v>
      </c>
      <c r="I20" s="4" t="s">
        <v>168</v>
      </c>
      <c r="J20" s="4">
        <f>0.2*J4</f>
        <v>20000</v>
      </c>
      <c r="L20" s="2" t="s">
        <v>240</v>
      </c>
    </row>
    <row r="21" spans="1:12" x14ac:dyDescent="0.25">
      <c r="D21" s="2" t="s">
        <v>239</v>
      </c>
      <c r="G21" s="4" t="s">
        <v>169</v>
      </c>
      <c r="H21" s="4" t="s">
        <v>170</v>
      </c>
      <c r="I21" s="4" t="s">
        <v>171</v>
      </c>
      <c r="J21" s="4">
        <f>0.02*SUM(J3:J8)</f>
        <v>5145608.4124761932</v>
      </c>
      <c r="L21" s="2" t="s">
        <v>240</v>
      </c>
    </row>
    <row r="22" spans="1:12" x14ac:dyDescent="0.25">
      <c r="A22" s="4" t="s">
        <v>122</v>
      </c>
      <c r="B22" s="4">
        <v>5</v>
      </c>
      <c r="D22" s="2" t="s">
        <v>239</v>
      </c>
      <c r="G22" s="4" t="s">
        <v>172</v>
      </c>
      <c r="H22" s="4" t="s">
        <v>173</v>
      </c>
      <c r="I22" s="4" t="s">
        <v>174</v>
      </c>
      <c r="J22" s="4">
        <f>0.08*J15</f>
        <v>2952.8670416509417</v>
      </c>
      <c r="L22" s="2" t="s">
        <v>240</v>
      </c>
    </row>
    <row r="23" spans="1:12" x14ac:dyDescent="0.25">
      <c r="A23" s="4" t="s">
        <v>123</v>
      </c>
      <c r="B23" s="4">
        <v>20000</v>
      </c>
      <c r="C23" s="4" t="s">
        <v>230</v>
      </c>
      <c r="D23" s="2" t="s">
        <v>239</v>
      </c>
      <c r="G23" s="4" t="s">
        <v>175</v>
      </c>
      <c r="H23" s="4" t="s">
        <v>176</v>
      </c>
      <c r="J23" s="4">
        <f>SUM(J20:J22)</f>
        <v>5168561.2795178443</v>
      </c>
      <c r="L23" s="2" t="s">
        <v>240</v>
      </c>
    </row>
    <row r="24" spans="1:12" x14ac:dyDescent="0.25">
      <c r="D24" s="2" t="s">
        <v>239</v>
      </c>
      <c r="L24" s="2" t="s">
        <v>240</v>
      </c>
    </row>
    <row r="25" spans="1:12" x14ac:dyDescent="0.25">
      <c r="A25" s="4" t="s">
        <v>110</v>
      </c>
      <c r="B25" s="4">
        <f>B23*B22</f>
        <v>100000</v>
      </c>
      <c r="C25" s="4" t="s">
        <v>230</v>
      </c>
      <c r="D25" s="2" t="s">
        <v>239</v>
      </c>
      <c r="G25" s="4" t="s">
        <v>177</v>
      </c>
      <c r="H25" s="4" t="s">
        <v>178</v>
      </c>
      <c r="J25" s="4">
        <f>J23+J17+J10</f>
        <v>265168298.86940891</v>
      </c>
      <c r="K25" s="4" t="s">
        <v>231</v>
      </c>
      <c r="L25" s="2" t="s">
        <v>240</v>
      </c>
    </row>
    <row r="26" spans="1:12" x14ac:dyDescent="0.25">
      <c r="D26" s="2" t="s">
        <v>239</v>
      </c>
    </row>
    <row r="27" spans="1:12" x14ac:dyDescent="0.25">
      <c r="D27" s="2" t="s">
        <v>239</v>
      </c>
    </row>
    <row r="28" spans="1:12" x14ac:dyDescent="0.25">
      <c r="A28" s="2" t="s">
        <v>124</v>
      </c>
      <c r="D28" s="2" t="s">
        <v>239</v>
      </c>
    </row>
    <row r="29" spans="1:12" x14ac:dyDescent="0.25">
      <c r="D29" s="2" t="s">
        <v>239</v>
      </c>
    </row>
    <row r="30" spans="1:12" x14ac:dyDescent="0.25">
      <c r="A30" s="4" t="s">
        <v>125</v>
      </c>
      <c r="B30" s="4">
        <f>Πίνακες!G9/1000</f>
        <v>1.6</v>
      </c>
      <c r="C30" s="4" t="s">
        <v>119</v>
      </c>
      <c r="D30" s="2" t="s">
        <v>239</v>
      </c>
    </row>
    <row r="31" spans="1:12" x14ac:dyDescent="0.25">
      <c r="A31" s="4" t="s">
        <v>126</v>
      </c>
      <c r="B31" s="4">
        <v>36</v>
      </c>
      <c r="C31" s="4" t="s">
        <v>118</v>
      </c>
      <c r="D31" s="2" t="s">
        <v>239</v>
      </c>
    </row>
    <row r="32" spans="1:12" x14ac:dyDescent="0.25">
      <c r="D32" s="2" t="s">
        <v>239</v>
      </c>
    </row>
    <row r="33" spans="1:4" x14ac:dyDescent="0.25">
      <c r="D33" s="2" t="s">
        <v>239</v>
      </c>
    </row>
    <row r="34" spans="1:4" x14ac:dyDescent="0.25">
      <c r="A34" s="4" t="s">
        <v>111</v>
      </c>
      <c r="B34" s="4">
        <f>B31*B30</f>
        <v>57.6</v>
      </c>
      <c r="C34" s="4" t="s">
        <v>229</v>
      </c>
      <c r="D34" s="2" t="s">
        <v>239</v>
      </c>
    </row>
    <row r="35" spans="1:4" x14ac:dyDescent="0.25">
      <c r="A35" s="4" t="s">
        <v>111</v>
      </c>
      <c r="B35" s="4">
        <f>B34*B1</f>
        <v>462524.63615999999</v>
      </c>
      <c r="C35" s="4" t="s">
        <v>230</v>
      </c>
      <c r="D35" s="2" t="s">
        <v>239</v>
      </c>
    </row>
    <row r="36" spans="1:4" x14ac:dyDescent="0.25">
      <c r="D36" s="2" t="s">
        <v>239</v>
      </c>
    </row>
    <row r="37" spans="1:4" x14ac:dyDescent="0.25">
      <c r="A37" s="2" t="s">
        <v>127</v>
      </c>
      <c r="D37" s="2" t="s">
        <v>239</v>
      </c>
    </row>
    <row r="38" spans="1:4" x14ac:dyDescent="0.25">
      <c r="D38" s="2" t="s">
        <v>239</v>
      </c>
    </row>
    <row r="39" spans="1:4" x14ac:dyDescent="0.25">
      <c r="A39" s="4" t="s">
        <v>128</v>
      </c>
      <c r="B39" s="4">
        <f>1.25*(B9+B18+B35)+1.66*B25+0.44*'Κόστος Πάγιας Επένδυσης'!B3</f>
        <v>322146465.98294121</v>
      </c>
      <c r="C39" s="4" t="s">
        <v>230</v>
      </c>
      <c r="D39" s="2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E30" sqref="E30"/>
    </sheetView>
  </sheetViews>
  <sheetFormatPr defaultRowHeight="15" x14ac:dyDescent="0.25"/>
  <cols>
    <col min="1" max="1" width="26.7109375" style="4" bestFit="1" customWidth="1"/>
    <col min="2" max="2" width="20.85546875" style="4" bestFit="1" customWidth="1"/>
    <col min="3" max="3" width="9.140625" style="4"/>
    <col min="4" max="4" width="20.85546875" style="4" bestFit="1" customWidth="1"/>
    <col min="5" max="7" width="9.140625" style="4"/>
    <col min="8" max="8" width="11.140625" style="4" bestFit="1" customWidth="1"/>
    <col min="9" max="9" width="9.140625" style="4"/>
    <col min="10" max="10" width="9.85546875" style="4" bestFit="1" customWidth="1"/>
    <col min="11" max="11" width="9.140625" style="4"/>
    <col min="12" max="12" width="11.140625" style="4" bestFit="1" customWidth="1"/>
    <col min="13" max="16384" width="9.140625" style="4"/>
  </cols>
  <sheetData>
    <row r="1" spans="1:12" x14ac:dyDescent="0.25">
      <c r="A1" s="2" t="s">
        <v>181</v>
      </c>
      <c r="F1" s="2" t="s">
        <v>194</v>
      </c>
      <c r="J1" s="2" t="s">
        <v>195</v>
      </c>
    </row>
    <row r="3" spans="1:12" x14ac:dyDescent="0.25">
      <c r="A3" s="4" t="s">
        <v>115</v>
      </c>
      <c r="B3" s="4">
        <f>Πίνακες!F9</f>
        <v>2400</v>
      </c>
      <c r="C3" s="4" t="s">
        <v>113</v>
      </c>
    </row>
    <row r="4" spans="1:12" x14ac:dyDescent="0.25">
      <c r="A4" s="4" t="s">
        <v>114</v>
      </c>
      <c r="B4" s="4">
        <v>18</v>
      </c>
      <c r="C4" s="4" t="s">
        <v>228</v>
      </c>
      <c r="F4" s="1" t="s">
        <v>191</v>
      </c>
      <c r="H4" s="1" t="s">
        <v>198</v>
      </c>
      <c r="J4" s="1" t="s">
        <v>191</v>
      </c>
      <c r="L4" s="1" t="s">
        <v>198</v>
      </c>
    </row>
    <row r="5" spans="1:12" x14ac:dyDescent="0.25">
      <c r="F5" s="4">
        <v>0</v>
      </c>
      <c r="G5" s="4">
        <f>'Κόστος Πάγιας Επένδυσης'!B3</f>
        <v>85507.732866340011</v>
      </c>
      <c r="H5" s="4">
        <f>-G5</f>
        <v>-85507.732866340011</v>
      </c>
      <c r="J5" s="4">
        <v>0</v>
      </c>
      <c r="K5" s="4">
        <f>'Κόστος Πάγιας Επένδυσης'!G27</f>
        <v>424474.63723732287</v>
      </c>
      <c r="L5" s="4">
        <f>-K5</f>
        <v>-424474.63723732287</v>
      </c>
    </row>
    <row r="6" spans="1:12" x14ac:dyDescent="0.25">
      <c r="A6" s="4" t="s">
        <v>20</v>
      </c>
      <c r="B6" s="4">
        <f>B4*B3</f>
        <v>43200</v>
      </c>
      <c r="C6" s="4" t="s">
        <v>232</v>
      </c>
      <c r="F6" s="4">
        <v>1</v>
      </c>
      <c r="G6" s="4">
        <f>$B$12/(1+0.05)^F6</f>
        <v>17440750.706117623</v>
      </c>
      <c r="H6" s="4">
        <f>G6+H5</f>
        <v>17355242.973251283</v>
      </c>
      <c r="J6" s="4">
        <v>1</v>
      </c>
      <c r="K6" s="4">
        <f>$B$12/(1+0.05)^J6</f>
        <v>17440750.706117623</v>
      </c>
      <c r="L6" s="4">
        <f>K6+L5</f>
        <v>17016276.068880301</v>
      </c>
    </row>
    <row r="7" spans="1:12" x14ac:dyDescent="0.25">
      <c r="A7" s="4" t="s">
        <v>20</v>
      </c>
      <c r="B7" s="4">
        <f>B6*'Πρώτες και Βοηθητικές Ύλες'!B1</f>
        <v>346893477.12</v>
      </c>
      <c r="C7" s="4" t="s">
        <v>231</v>
      </c>
      <c r="F7" s="4">
        <f>F6+1</f>
        <v>2</v>
      </c>
      <c r="G7" s="4">
        <f t="shared" ref="G7:G25" si="0">$B$12/(1+0.05)^F7</f>
        <v>16610238.767731071</v>
      </c>
      <c r="H7" s="4">
        <f t="shared" ref="H7:H25" si="1">G7+H6</f>
        <v>33965481.740982354</v>
      </c>
      <c r="J7" s="4">
        <f>J6+1</f>
        <v>2</v>
      </c>
      <c r="K7" s="4">
        <f t="shared" ref="K7:K15" si="2">$B$12/(1+0.05)^J7</f>
        <v>16610238.767731071</v>
      </c>
      <c r="L7" s="4">
        <f t="shared" ref="L7:L15" si="3">K7+L6</f>
        <v>33626514.836611375</v>
      </c>
    </row>
    <row r="8" spans="1:12" x14ac:dyDescent="0.25">
      <c r="F8" s="4">
        <f t="shared" ref="F8:F25" si="4">F7+1</f>
        <v>3</v>
      </c>
      <c r="G8" s="4">
        <f t="shared" si="0"/>
        <v>15819275.016886733</v>
      </c>
      <c r="H8" s="4">
        <f t="shared" si="1"/>
        <v>49784756.757869087</v>
      </c>
      <c r="J8" s="4">
        <f t="shared" ref="J8:J15" si="5">J7+1</f>
        <v>3</v>
      </c>
      <c r="K8" s="4">
        <f t="shared" si="2"/>
        <v>15819275.016886733</v>
      </c>
      <c r="L8" s="4">
        <f t="shared" si="3"/>
        <v>49445789.853498109</v>
      </c>
    </row>
    <row r="9" spans="1:12" x14ac:dyDescent="0.25">
      <c r="A9" s="2" t="s">
        <v>190</v>
      </c>
      <c r="F9" s="4">
        <f t="shared" si="4"/>
        <v>4</v>
      </c>
      <c r="G9" s="4">
        <f t="shared" si="0"/>
        <v>15065976.206558796</v>
      </c>
      <c r="H9" s="4">
        <f t="shared" si="1"/>
        <v>64850732.964427881</v>
      </c>
      <c r="J9" s="4">
        <f t="shared" si="5"/>
        <v>4</v>
      </c>
      <c r="K9" s="4">
        <f t="shared" si="2"/>
        <v>15065976.206558796</v>
      </c>
      <c r="L9" s="4">
        <f t="shared" si="3"/>
        <v>64511766.060056902</v>
      </c>
    </row>
    <row r="10" spans="1:12" x14ac:dyDescent="0.25">
      <c r="F10" s="4">
        <f t="shared" si="4"/>
        <v>5</v>
      </c>
      <c r="G10" s="4">
        <f t="shared" si="0"/>
        <v>14348548.768151231</v>
      </c>
      <c r="H10" s="4">
        <f t="shared" si="1"/>
        <v>79199281.732579112</v>
      </c>
      <c r="J10" s="4">
        <f t="shared" si="5"/>
        <v>5</v>
      </c>
      <c r="K10" s="4">
        <f t="shared" si="2"/>
        <v>14348548.768151231</v>
      </c>
      <c r="L10" s="4">
        <f t="shared" si="3"/>
        <v>78860314.828208134</v>
      </c>
    </row>
    <row r="11" spans="1:12" x14ac:dyDescent="0.25">
      <c r="A11" s="5" t="s">
        <v>182</v>
      </c>
      <c r="B11" s="4">
        <f>B7-'Πρώτες και Βοηθητικές Ύλες'!B39</f>
        <v>24747011.137058794</v>
      </c>
      <c r="C11" s="4" t="s">
        <v>130</v>
      </c>
      <c r="D11" s="5" t="s">
        <v>186</v>
      </c>
      <c r="F11" s="4">
        <f t="shared" si="4"/>
        <v>6</v>
      </c>
      <c r="G11" s="4">
        <f t="shared" si="0"/>
        <v>13665284.541096414</v>
      </c>
      <c r="H11" s="4">
        <f t="shared" si="1"/>
        <v>92864566.273675531</v>
      </c>
      <c r="J11" s="4">
        <f t="shared" si="5"/>
        <v>6</v>
      </c>
      <c r="K11" s="4">
        <f t="shared" si="2"/>
        <v>13665284.541096414</v>
      </c>
      <c r="L11" s="4">
        <f t="shared" si="3"/>
        <v>92525599.369304553</v>
      </c>
    </row>
    <row r="12" spans="1:12" x14ac:dyDescent="0.25">
      <c r="A12" s="5" t="s">
        <v>183</v>
      </c>
      <c r="B12" s="4">
        <f>B11*(1-B13)</f>
        <v>18312788.241423506</v>
      </c>
      <c r="C12" s="4" t="s">
        <v>130</v>
      </c>
      <c r="D12" s="5" t="s">
        <v>185</v>
      </c>
      <c r="F12" s="4">
        <f t="shared" si="4"/>
        <v>7</v>
      </c>
      <c r="G12" s="4">
        <f t="shared" si="0"/>
        <v>13014556.705806104</v>
      </c>
      <c r="H12" s="4">
        <f t="shared" si="1"/>
        <v>105879122.97948164</v>
      </c>
      <c r="J12" s="4">
        <f t="shared" si="5"/>
        <v>7</v>
      </c>
      <c r="K12" s="4">
        <f t="shared" si="2"/>
        <v>13014556.705806104</v>
      </c>
      <c r="L12" s="4">
        <f t="shared" si="3"/>
        <v>105540156.07511066</v>
      </c>
    </row>
    <row r="13" spans="1:12" x14ac:dyDescent="0.25">
      <c r="A13" s="5" t="s">
        <v>184</v>
      </c>
      <c r="B13" s="4">
        <f>26/100</f>
        <v>0.26</v>
      </c>
      <c r="F13" s="4">
        <f t="shared" si="4"/>
        <v>8</v>
      </c>
      <c r="G13" s="4">
        <f t="shared" si="0"/>
        <v>12394815.91029153</v>
      </c>
      <c r="H13" s="4">
        <f t="shared" si="1"/>
        <v>118273938.88977316</v>
      </c>
      <c r="J13" s="4">
        <f t="shared" si="5"/>
        <v>8</v>
      </c>
      <c r="K13" s="4">
        <f t="shared" si="2"/>
        <v>12394815.91029153</v>
      </c>
      <c r="L13" s="4">
        <f t="shared" si="3"/>
        <v>117934971.9854022</v>
      </c>
    </row>
    <row r="14" spans="1:12" x14ac:dyDescent="0.25">
      <c r="A14" s="5"/>
      <c r="F14" s="4">
        <f t="shared" si="4"/>
        <v>9</v>
      </c>
      <c r="G14" s="4">
        <f t="shared" si="0"/>
        <v>11804586.581230028</v>
      </c>
      <c r="H14" s="4">
        <f t="shared" si="1"/>
        <v>130078525.47100319</v>
      </c>
      <c r="J14" s="4">
        <f t="shared" si="5"/>
        <v>9</v>
      </c>
      <c r="K14" s="4">
        <f t="shared" si="2"/>
        <v>11804586.581230028</v>
      </c>
      <c r="L14" s="4">
        <f t="shared" si="3"/>
        <v>129739558.56663223</v>
      </c>
    </row>
    <row r="15" spans="1:12" x14ac:dyDescent="0.25">
      <c r="A15" s="5" t="s">
        <v>187</v>
      </c>
      <c r="B15" s="5">
        <v>0.1</v>
      </c>
      <c r="C15" s="5"/>
      <c r="F15" s="4">
        <f t="shared" si="4"/>
        <v>10</v>
      </c>
      <c r="G15" s="4">
        <f t="shared" si="0"/>
        <v>11242463.410695264</v>
      </c>
      <c r="H15" s="4">
        <f t="shared" si="1"/>
        <v>141320988.88169846</v>
      </c>
      <c r="J15" s="4">
        <f t="shared" si="5"/>
        <v>10</v>
      </c>
      <c r="K15" s="4">
        <f t="shared" si="2"/>
        <v>11242463.410695264</v>
      </c>
      <c r="L15" s="4">
        <f t="shared" si="3"/>
        <v>140982021.9773275</v>
      </c>
    </row>
    <row r="16" spans="1:12" x14ac:dyDescent="0.25">
      <c r="A16" s="5"/>
      <c r="B16" s="5"/>
      <c r="D16" s="5"/>
      <c r="F16" s="4">
        <f t="shared" si="4"/>
        <v>11</v>
      </c>
      <c r="G16" s="4">
        <f t="shared" si="0"/>
        <v>10707108.010185966</v>
      </c>
      <c r="H16" s="4">
        <f t="shared" si="1"/>
        <v>152028096.89188442</v>
      </c>
    </row>
    <row r="17" spans="1:12" x14ac:dyDescent="0.25">
      <c r="A17" s="5"/>
      <c r="C17" s="5"/>
      <c r="D17" s="5"/>
      <c r="F17" s="4">
        <f t="shared" si="4"/>
        <v>12</v>
      </c>
      <c r="G17" s="4">
        <f t="shared" si="0"/>
        <v>10197245.723986635</v>
      </c>
      <c r="H17" s="4">
        <f t="shared" si="1"/>
        <v>162225342.61587104</v>
      </c>
    </row>
    <row r="18" spans="1:12" x14ac:dyDescent="0.25">
      <c r="A18" s="12" t="s">
        <v>238</v>
      </c>
      <c r="B18" s="4">
        <f>'Πρώτες και Βοηθητικές Ύλες'!B39*(1+B20)^F25</f>
        <v>581832351.42083812</v>
      </c>
      <c r="C18" s="4" t="s">
        <v>233</v>
      </c>
      <c r="F18" s="4">
        <f t="shared" si="4"/>
        <v>13</v>
      </c>
      <c r="G18" s="4">
        <f t="shared" si="0"/>
        <v>9711662.5942729842</v>
      </c>
      <c r="H18" s="4">
        <f t="shared" si="1"/>
        <v>171937005.21014401</v>
      </c>
    </row>
    <row r="19" spans="1:12" x14ac:dyDescent="0.25">
      <c r="A19" s="12"/>
      <c r="B19" s="4">
        <f>'Πρώτες και Βοηθητικές Ύλες'!B39*(1+B20)^J15</f>
        <v>432937912.18229866</v>
      </c>
      <c r="C19" s="4" t="s">
        <v>234</v>
      </c>
      <c r="F19" s="4">
        <f t="shared" si="4"/>
        <v>14</v>
      </c>
      <c r="G19" s="4">
        <f t="shared" si="0"/>
        <v>9249202.4707361776</v>
      </c>
      <c r="H19" s="4">
        <f t="shared" si="1"/>
        <v>181186207.68088019</v>
      </c>
    </row>
    <row r="20" spans="1:12" x14ac:dyDescent="0.25">
      <c r="A20" s="12" t="s">
        <v>235</v>
      </c>
      <c r="B20" s="4">
        <v>0.03</v>
      </c>
      <c r="F20" s="4">
        <f t="shared" si="4"/>
        <v>15</v>
      </c>
      <c r="G20" s="4">
        <f t="shared" si="0"/>
        <v>8808764.2578439768</v>
      </c>
      <c r="H20" s="4">
        <f t="shared" si="1"/>
        <v>189994971.93872416</v>
      </c>
    </row>
    <row r="21" spans="1:12" x14ac:dyDescent="0.25">
      <c r="A21" s="12"/>
      <c r="F21" s="4">
        <f t="shared" si="4"/>
        <v>16</v>
      </c>
      <c r="G21" s="4">
        <f>$B$12/(1+0.05)^F21</f>
        <v>8389299.2931847405</v>
      </c>
      <c r="H21" s="4">
        <f t="shared" si="1"/>
        <v>198384271.23190889</v>
      </c>
    </row>
    <row r="22" spans="1:12" x14ac:dyDescent="0.25">
      <c r="F22" s="4">
        <f t="shared" si="4"/>
        <v>17</v>
      </c>
      <c r="G22" s="4">
        <f t="shared" si="0"/>
        <v>7989808.8506521322</v>
      </c>
      <c r="H22" s="4">
        <f t="shared" si="1"/>
        <v>206374080.08256102</v>
      </c>
    </row>
    <row r="23" spans="1:12" x14ac:dyDescent="0.25">
      <c r="A23" s="4" t="s">
        <v>196</v>
      </c>
      <c r="B23" s="4">
        <v>16.716380295829275</v>
      </c>
      <c r="C23" s="4" t="s">
        <v>116</v>
      </c>
      <c r="D23" s="4" t="s">
        <v>236</v>
      </c>
      <c r="F23" s="4">
        <f t="shared" si="4"/>
        <v>18</v>
      </c>
      <c r="G23" s="4">
        <f t="shared" si="0"/>
        <v>7609341.7625258407</v>
      </c>
      <c r="H23" s="4">
        <f t="shared" si="1"/>
        <v>213983421.84508684</v>
      </c>
    </row>
    <row r="24" spans="1:12" x14ac:dyDescent="0.25">
      <c r="A24" s="4" t="s">
        <v>197</v>
      </c>
      <c r="B24" s="4">
        <v>16.719753796929712</v>
      </c>
      <c r="C24" s="4" t="s">
        <v>116</v>
      </c>
      <c r="D24" s="4" t="s">
        <v>236</v>
      </c>
      <c r="F24" s="4">
        <f t="shared" si="4"/>
        <v>19</v>
      </c>
      <c r="G24" s="4">
        <f t="shared" si="0"/>
        <v>7246992.1547865141</v>
      </c>
      <c r="H24" s="4">
        <f t="shared" si="1"/>
        <v>221230413.99987337</v>
      </c>
    </row>
    <row r="25" spans="1:12" x14ac:dyDescent="0.25">
      <c r="F25" s="4">
        <f t="shared" si="4"/>
        <v>20</v>
      </c>
      <c r="G25" s="4">
        <f t="shared" si="0"/>
        <v>6901897.290272871</v>
      </c>
      <c r="H25" s="4">
        <f t="shared" si="1"/>
        <v>228132311.29014623</v>
      </c>
    </row>
    <row r="26" spans="1:12" x14ac:dyDescent="0.25">
      <c r="A26" s="4" t="s">
        <v>196</v>
      </c>
      <c r="B26" s="4">
        <v>20.008944799058071</v>
      </c>
      <c r="D26" s="4" t="s">
        <v>237</v>
      </c>
    </row>
    <row r="27" spans="1:12" x14ac:dyDescent="0.25">
      <c r="A27" s="4" t="s">
        <v>197</v>
      </c>
      <c r="B27" s="4">
        <v>20.675458737927489</v>
      </c>
      <c r="D27" s="4" t="s">
        <v>237</v>
      </c>
    </row>
    <row r="28" spans="1:12" x14ac:dyDescent="0.25">
      <c r="F28" s="4" t="s">
        <v>192</v>
      </c>
      <c r="G28" s="4">
        <f>-G5+SUM(G6:G25)</f>
        <v>228132311.29014623</v>
      </c>
      <c r="H28" s="4" t="s">
        <v>193</v>
      </c>
      <c r="J28" s="4" t="s">
        <v>192</v>
      </c>
      <c r="K28" s="4">
        <f>-K5+SUM(K6:K15)</f>
        <v>140982021.9773275</v>
      </c>
      <c r="L28" s="4" t="s">
        <v>193</v>
      </c>
    </row>
    <row r="30" spans="1:12" x14ac:dyDescent="0.25">
      <c r="G30" s="4">
        <f>G28/100000000</f>
        <v>2.2813231129014624</v>
      </c>
    </row>
    <row r="40" spans="2:4" x14ac:dyDescent="0.25">
      <c r="B40" s="5"/>
      <c r="D40" s="5"/>
    </row>
    <row r="41" spans="2:4" x14ac:dyDescent="0.25">
      <c r="B41" s="5"/>
    </row>
    <row r="42" spans="2:4" x14ac:dyDescent="0.25">
      <c r="D42" s="5"/>
    </row>
    <row r="46" spans="2:4" x14ac:dyDescent="0.25">
      <c r="B46" s="4">
        <v>64.618352503764996</v>
      </c>
      <c r="C46" s="4">
        <f t="shared" ref="C46:C47" si="6">B23-B46</f>
        <v>-47.901972207935721</v>
      </c>
      <c r="D46" s="4" t="s">
        <v>116</v>
      </c>
    </row>
    <row r="47" spans="2:4" x14ac:dyDescent="0.25">
      <c r="B47" s="4">
        <v>67.941398958206435</v>
      </c>
      <c r="C47" s="4">
        <f t="shared" si="6"/>
        <v>-51.221645161276726</v>
      </c>
      <c r="D47" s="4" t="s">
        <v>116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D22" sqref="D22"/>
    </sheetView>
  </sheetViews>
  <sheetFormatPr defaultRowHeight="15" x14ac:dyDescent="0.25"/>
  <cols>
    <col min="1" max="1" width="26.7109375" style="4" bestFit="1" customWidth="1"/>
    <col min="2" max="2" width="21" style="4" bestFit="1" customWidth="1"/>
    <col min="3" max="3" width="9.140625" style="4"/>
    <col min="4" max="4" width="20.85546875" style="4" bestFit="1" customWidth="1"/>
    <col min="5" max="5" width="9.140625" style="4"/>
    <col min="6" max="6" width="9.28515625" style="4" bestFit="1" customWidth="1"/>
    <col min="7" max="7" width="12.7109375" style="4" bestFit="1" customWidth="1"/>
    <col min="8" max="8" width="11.7109375" style="4" bestFit="1" customWidth="1"/>
    <col min="9" max="9" width="9.140625" style="4"/>
    <col min="10" max="10" width="10" style="4" bestFit="1" customWidth="1"/>
    <col min="11" max="12" width="9.28515625" style="4" bestFit="1" customWidth="1"/>
    <col min="13" max="16384" width="9.140625" style="4"/>
  </cols>
  <sheetData>
    <row r="1" spans="1:12" x14ac:dyDescent="0.25">
      <c r="A1" s="2" t="s">
        <v>181</v>
      </c>
      <c r="F1" s="2" t="s">
        <v>194</v>
      </c>
      <c r="J1" s="2" t="s">
        <v>195</v>
      </c>
    </row>
    <row r="3" spans="1:12" x14ac:dyDescent="0.25">
      <c r="A3" s="4" t="s">
        <v>115</v>
      </c>
      <c r="B3" s="4">
        <f>Πίνακες!F9</f>
        <v>2400</v>
      </c>
      <c r="C3" s="4" t="s">
        <v>113</v>
      </c>
    </row>
    <row r="4" spans="1:12" x14ac:dyDescent="0.25">
      <c r="A4" s="4" t="s">
        <v>114</v>
      </c>
      <c r="B4" s="3">
        <v>18</v>
      </c>
      <c r="C4" s="4" t="s">
        <v>116</v>
      </c>
      <c r="F4" s="1" t="s">
        <v>191</v>
      </c>
      <c r="H4" s="1" t="s">
        <v>198</v>
      </c>
      <c r="J4" s="1" t="s">
        <v>191</v>
      </c>
      <c r="L4" s="1" t="s">
        <v>198</v>
      </c>
    </row>
    <row r="5" spans="1:12" x14ac:dyDescent="0.25">
      <c r="F5" s="4">
        <v>0</v>
      </c>
      <c r="G5" s="4">
        <f>'Κόστος Πάγιας Επένδυσης'!G27</f>
        <v>424474.63723732287</v>
      </c>
      <c r="H5" s="4">
        <f>-G5</f>
        <v>-424474.63723732287</v>
      </c>
      <c r="J5" s="4">
        <v>0</v>
      </c>
      <c r="K5" s="4">
        <f>'Κόστος Πάγιας Επένδυσης'!G27</f>
        <v>424474.63723732287</v>
      </c>
      <c r="L5" s="4">
        <f>-K5</f>
        <v>-424474.63723732287</v>
      </c>
    </row>
    <row r="6" spans="1:12" x14ac:dyDescent="0.25">
      <c r="A6" s="4" t="s">
        <v>20</v>
      </c>
      <c r="B6" s="4">
        <f>B4*B3</f>
        <v>43200</v>
      </c>
      <c r="C6" s="4" t="s">
        <v>120</v>
      </c>
      <c r="F6" s="4">
        <v>1</v>
      </c>
      <c r="G6" s="4">
        <f>$B$12/(1+0.05)^F6</f>
        <v>57596792.290892772</v>
      </c>
      <c r="H6" s="4">
        <f>G6+H5</f>
        <v>57172317.653655447</v>
      </c>
      <c r="J6" s="4">
        <v>1</v>
      </c>
      <c r="K6" s="4">
        <f>$B$12/(1+0.05)^J6</f>
        <v>57596792.290892772</v>
      </c>
      <c r="L6" s="4">
        <f>K6+L5</f>
        <v>57172317.653655447</v>
      </c>
    </row>
    <row r="7" spans="1:12" x14ac:dyDescent="0.25">
      <c r="A7" s="4" t="s">
        <v>20</v>
      </c>
      <c r="B7" s="4">
        <f>B6*'Πρώτες και Βοηθητικές Ύλες'!B1</f>
        <v>346893477.12</v>
      </c>
      <c r="C7" s="4" t="s">
        <v>130</v>
      </c>
      <c r="F7" s="4">
        <f>F6+1</f>
        <v>2</v>
      </c>
      <c r="G7" s="4">
        <f t="shared" ref="G7:G25" si="0">$B$12/(1+0.05)^F7</f>
        <v>54854087.896088354</v>
      </c>
      <c r="H7" s="4">
        <f t="shared" ref="H7:H25" si="1">G7+H6</f>
        <v>112026405.5497438</v>
      </c>
      <c r="J7" s="4">
        <f>J6+1</f>
        <v>2</v>
      </c>
      <c r="K7" s="4">
        <f t="shared" ref="K7:K15" si="2">$B$12/(1+0.05)^J7</f>
        <v>54854087.896088354</v>
      </c>
      <c r="L7" s="4">
        <f t="shared" ref="L7:L15" si="3">K7+L6</f>
        <v>112026405.5497438</v>
      </c>
    </row>
    <row r="8" spans="1:12" x14ac:dyDescent="0.25">
      <c r="F8" s="4">
        <f t="shared" ref="F8:F25" si="4">F7+1</f>
        <v>3</v>
      </c>
      <c r="G8" s="4">
        <f t="shared" si="0"/>
        <v>52241988.47246509</v>
      </c>
      <c r="H8" s="4">
        <f t="shared" si="1"/>
        <v>164268394.0222089</v>
      </c>
      <c r="J8" s="4">
        <f t="shared" ref="J8:J15" si="5">J7+1</f>
        <v>3</v>
      </c>
      <c r="K8" s="4">
        <f t="shared" si="2"/>
        <v>52241988.47246509</v>
      </c>
      <c r="L8" s="4">
        <f t="shared" si="3"/>
        <v>164268394.0222089</v>
      </c>
    </row>
    <row r="9" spans="1:12" x14ac:dyDescent="0.25">
      <c r="A9" s="2" t="s">
        <v>190</v>
      </c>
      <c r="F9" s="4">
        <f t="shared" si="4"/>
        <v>4</v>
      </c>
      <c r="G9" s="4">
        <f t="shared" si="0"/>
        <v>49754274.73568105</v>
      </c>
      <c r="H9" s="4">
        <f t="shared" si="1"/>
        <v>214022668.75788996</v>
      </c>
      <c r="J9" s="4">
        <f t="shared" si="5"/>
        <v>4</v>
      </c>
      <c r="K9" s="4">
        <f t="shared" si="2"/>
        <v>49754274.73568105</v>
      </c>
      <c r="L9" s="4">
        <f t="shared" si="3"/>
        <v>214022668.75788996</v>
      </c>
    </row>
    <row r="10" spans="1:12" x14ac:dyDescent="0.25">
      <c r="F10" s="4">
        <f t="shared" si="4"/>
        <v>5</v>
      </c>
      <c r="G10" s="4">
        <f t="shared" si="0"/>
        <v>47385023.557791471</v>
      </c>
      <c r="H10" s="4">
        <f t="shared" si="1"/>
        <v>261407692.31568143</v>
      </c>
      <c r="J10" s="4">
        <f t="shared" si="5"/>
        <v>5</v>
      </c>
      <c r="K10" s="4">
        <f t="shared" si="2"/>
        <v>47385023.557791471</v>
      </c>
      <c r="L10" s="4">
        <f t="shared" si="3"/>
        <v>261407692.31568143</v>
      </c>
    </row>
    <row r="11" spans="1:12" x14ac:dyDescent="0.25">
      <c r="A11" s="5" t="s">
        <v>182</v>
      </c>
      <c r="B11" s="4">
        <f>B7-'Πρώτες και Βοηθητικές Ύλες'!J25</f>
        <v>81725178.250591099</v>
      </c>
      <c r="C11" s="4" t="s">
        <v>130</v>
      </c>
      <c r="D11" s="5" t="s">
        <v>186</v>
      </c>
      <c r="F11" s="4">
        <f t="shared" si="4"/>
        <v>6</v>
      </c>
      <c r="G11" s="4">
        <f t="shared" si="0"/>
        <v>45128593.864563309</v>
      </c>
      <c r="H11" s="4">
        <f t="shared" si="1"/>
        <v>306536286.18024474</v>
      </c>
      <c r="J11" s="4">
        <f t="shared" si="5"/>
        <v>6</v>
      </c>
      <c r="K11" s="4">
        <f t="shared" si="2"/>
        <v>45128593.864563309</v>
      </c>
      <c r="L11" s="4">
        <f t="shared" si="3"/>
        <v>306536286.18024474</v>
      </c>
    </row>
    <row r="12" spans="1:12" x14ac:dyDescent="0.25">
      <c r="A12" s="5" t="s">
        <v>183</v>
      </c>
      <c r="B12" s="4">
        <f>B11*(1-B13)</f>
        <v>60476631.90543741</v>
      </c>
      <c r="C12" s="4" t="s">
        <v>130</v>
      </c>
      <c r="D12" s="5" t="s">
        <v>185</v>
      </c>
      <c r="F12" s="4">
        <f t="shared" si="4"/>
        <v>7</v>
      </c>
      <c r="G12" s="4">
        <f t="shared" si="0"/>
        <v>42979613.204346001</v>
      </c>
      <c r="H12" s="4">
        <f t="shared" si="1"/>
        <v>349515899.38459074</v>
      </c>
      <c r="J12" s="4">
        <f t="shared" si="5"/>
        <v>7</v>
      </c>
      <c r="K12" s="4">
        <f t="shared" si="2"/>
        <v>42979613.204346001</v>
      </c>
      <c r="L12" s="4">
        <f t="shared" si="3"/>
        <v>349515899.38459074</v>
      </c>
    </row>
    <row r="13" spans="1:12" x14ac:dyDescent="0.25">
      <c r="A13" s="5" t="s">
        <v>184</v>
      </c>
      <c r="B13" s="4">
        <f>26/100</f>
        <v>0.26</v>
      </c>
      <c r="F13" s="4">
        <f t="shared" si="4"/>
        <v>8</v>
      </c>
      <c r="G13" s="4">
        <f t="shared" si="0"/>
        <v>40932964.956520006</v>
      </c>
      <c r="H13" s="4">
        <f t="shared" si="1"/>
        <v>390448864.34111077</v>
      </c>
      <c r="J13" s="4">
        <f t="shared" si="5"/>
        <v>8</v>
      </c>
      <c r="K13" s="4">
        <f t="shared" si="2"/>
        <v>40932964.956520006</v>
      </c>
      <c r="L13" s="4">
        <f t="shared" si="3"/>
        <v>390448864.34111077</v>
      </c>
    </row>
    <row r="14" spans="1:12" x14ac:dyDescent="0.25">
      <c r="A14" s="5"/>
      <c r="F14" s="4">
        <f t="shared" si="4"/>
        <v>9</v>
      </c>
      <c r="G14" s="4">
        <f t="shared" si="0"/>
        <v>38983776.149066672</v>
      </c>
      <c r="H14" s="4">
        <f t="shared" si="1"/>
        <v>429432640.49017745</v>
      </c>
      <c r="J14" s="4">
        <f t="shared" si="5"/>
        <v>9</v>
      </c>
      <c r="K14" s="4">
        <f t="shared" si="2"/>
        <v>38983776.149066672</v>
      </c>
      <c r="L14" s="4">
        <f t="shared" si="3"/>
        <v>429432640.49017745</v>
      </c>
    </row>
    <row r="15" spans="1:12" x14ac:dyDescent="0.25">
      <c r="A15" s="5" t="s">
        <v>187</v>
      </c>
      <c r="B15" s="5">
        <v>0.1</v>
      </c>
      <c r="C15" s="5"/>
      <c r="F15" s="4">
        <f t="shared" si="4"/>
        <v>10</v>
      </c>
      <c r="G15" s="4">
        <f t="shared" si="0"/>
        <v>37127405.856253974</v>
      </c>
      <c r="H15" s="4">
        <f t="shared" si="1"/>
        <v>466560046.34643143</v>
      </c>
      <c r="J15" s="4">
        <f t="shared" si="5"/>
        <v>10</v>
      </c>
      <c r="K15" s="4">
        <f t="shared" si="2"/>
        <v>37127405.856253974</v>
      </c>
      <c r="L15" s="4">
        <f t="shared" si="3"/>
        <v>466560046.34643143</v>
      </c>
    </row>
    <row r="16" spans="1:12" x14ac:dyDescent="0.25">
      <c r="A16" s="5"/>
      <c r="B16" s="5"/>
      <c r="D16" s="5"/>
      <c r="F16" s="4">
        <f t="shared" si="4"/>
        <v>11</v>
      </c>
      <c r="G16" s="4">
        <f t="shared" si="0"/>
        <v>35359434.1488133</v>
      </c>
      <c r="H16" s="4">
        <f t="shared" si="1"/>
        <v>501919480.49524474</v>
      </c>
    </row>
    <row r="17" spans="1:11" x14ac:dyDescent="0.25">
      <c r="A17" s="5"/>
      <c r="C17" s="5"/>
      <c r="D17" s="5"/>
      <c r="F17" s="4">
        <f t="shared" si="4"/>
        <v>12</v>
      </c>
      <c r="G17" s="4">
        <f t="shared" si="0"/>
        <v>33675651.570298389</v>
      </c>
      <c r="H17" s="4">
        <f t="shared" si="1"/>
        <v>535595132.06554312</v>
      </c>
    </row>
    <row r="18" spans="1:11" x14ac:dyDescent="0.25">
      <c r="A18" s="12" t="s">
        <v>238</v>
      </c>
      <c r="B18" s="4">
        <f>'Πρώτες και Βοηθητικές Ύλες'!J25*(1+B20)^F25</f>
        <v>478923443.66621608</v>
      </c>
      <c r="C18" s="4" t="s">
        <v>233</v>
      </c>
      <c r="D18" s="5"/>
      <c r="F18" s="4">
        <f t="shared" si="4"/>
        <v>13</v>
      </c>
      <c r="G18" s="4">
        <f t="shared" si="0"/>
        <v>32072049.114569888</v>
      </c>
      <c r="H18" s="4">
        <f t="shared" si="1"/>
        <v>567667181.18011296</v>
      </c>
    </row>
    <row r="19" spans="1:11" x14ac:dyDescent="0.25">
      <c r="A19" s="12"/>
      <c r="B19" s="4">
        <f>'Πρώτες και Βοηθητικές Ύλες'!J25*(1+B20)^J15</f>
        <v>356364020.133416</v>
      </c>
      <c r="C19" s="4" t="s">
        <v>234</v>
      </c>
      <c r="D19" s="5"/>
      <c r="F19" s="4">
        <f t="shared" si="4"/>
        <v>14</v>
      </c>
      <c r="G19" s="4">
        <f t="shared" si="0"/>
        <v>30544808.680542756</v>
      </c>
      <c r="H19" s="4">
        <f t="shared" si="1"/>
        <v>598211989.86065567</v>
      </c>
    </row>
    <row r="20" spans="1:11" x14ac:dyDescent="0.25">
      <c r="A20" s="12" t="s">
        <v>235</v>
      </c>
      <c r="B20" s="4">
        <v>0.03</v>
      </c>
      <c r="F20" s="4">
        <f t="shared" si="4"/>
        <v>15</v>
      </c>
      <c r="G20" s="4">
        <f t="shared" si="0"/>
        <v>29090293.981469285</v>
      </c>
      <c r="H20" s="4">
        <f t="shared" si="1"/>
        <v>627302283.84212494</v>
      </c>
    </row>
    <row r="21" spans="1:11" x14ac:dyDescent="0.25">
      <c r="F21" s="4">
        <f t="shared" si="4"/>
        <v>16</v>
      </c>
      <c r="G21" s="4">
        <f>$B$12/(1+0.05)^F21</f>
        <v>27705041.887113605</v>
      </c>
      <c r="H21" s="4">
        <f t="shared" si="1"/>
        <v>655007325.72923851</v>
      </c>
    </row>
    <row r="22" spans="1:11" x14ac:dyDescent="0.25">
      <c r="F22" s="4">
        <f t="shared" si="4"/>
        <v>17</v>
      </c>
      <c r="G22" s="4">
        <f t="shared" si="0"/>
        <v>26385754.17820343</v>
      </c>
      <c r="H22" s="4">
        <f t="shared" si="1"/>
        <v>681393079.90744197</v>
      </c>
    </row>
    <row r="23" spans="1:11" x14ac:dyDescent="0.25">
      <c r="A23" s="4" t="s">
        <v>196</v>
      </c>
      <c r="B23" s="4">
        <v>13.761740141987342</v>
      </c>
      <c r="C23" s="4" t="s">
        <v>116</v>
      </c>
      <c r="D23" s="4" t="s">
        <v>236</v>
      </c>
      <c r="F23" s="4">
        <f t="shared" si="4"/>
        <v>18</v>
      </c>
      <c r="G23" s="4">
        <f t="shared" si="0"/>
        <v>25129289.693527076</v>
      </c>
      <c r="H23" s="4">
        <f t="shared" si="1"/>
        <v>706522369.60096908</v>
      </c>
    </row>
    <row r="24" spans="1:11" x14ac:dyDescent="0.25">
      <c r="A24" s="4" t="s">
        <v>197</v>
      </c>
      <c r="B24" s="4">
        <v>13.763206394481996</v>
      </c>
      <c r="C24" s="4" t="s">
        <v>116</v>
      </c>
      <c r="D24" s="4" t="s">
        <v>236</v>
      </c>
      <c r="F24" s="4">
        <f t="shared" si="4"/>
        <v>19</v>
      </c>
      <c r="G24" s="4">
        <f t="shared" si="0"/>
        <v>23932656.85097817</v>
      </c>
      <c r="H24" s="4">
        <f t="shared" si="1"/>
        <v>730455026.45194721</v>
      </c>
    </row>
    <row r="25" spans="1:11" x14ac:dyDescent="0.25">
      <c r="F25" s="4">
        <f t="shared" si="4"/>
        <v>20</v>
      </c>
      <c r="G25" s="4">
        <f t="shared" si="0"/>
        <v>22793006.524741113</v>
      </c>
      <c r="H25" s="4">
        <f t="shared" si="1"/>
        <v>753248032.97668839</v>
      </c>
    </row>
    <row r="26" spans="1:11" x14ac:dyDescent="0.25">
      <c r="A26" s="4" t="s">
        <v>196</v>
      </c>
      <c r="B26" s="4">
        <v>16.492254999476827</v>
      </c>
      <c r="C26" s="4" t="s">
        <v>116</v>
      </c>
      <c r="D26" s="4" t="s">
        <v>237</v>
      </c>
    </row>
    <row r="27" spans="1:11" x14ac:dyDescent="0.25">
      <c r="A27" s="4" t="s">
        <v>197</v>
      </c>
      <c r="B27" s="4">
        <v>17.038265268436341</v>
      </c>
      <c r="C27" s="4" t="s">
        <v>116</v>
      </c>
      <c r="D27" s="4" t="s">
        <v>237</v>
      </c>
    </row>
    <row r="28" spans="1:11" x14ac:dyDescent="0.25">
      <c r="F28" s="4" t="s">
        <v>192</v>
      </c>
      <c r="G28" s="4">
        <f>-G5+SUM(G6:G25)</f>
        <v>753248032.97668839</v>
      </c>
      <c r="H28" s="4" t="s">
        <v>193</v>
      </c>
      <c r="J28" s="4" t="s">
        <v>192</v>
      </c>
      <c r="K28" s="4">
        <f>-K5+SUM(K6:K15)</f>
        <v>466560046.34643143</v>
      </c>
    </row>
    <row r="30" spans="1:11" x14ac:dyDescent="0.25">
      <c r="G30" s="4">
        <f>G28/100000000</f>
        <v>7.5324803297668836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6"/>
  <sheetViews>
    <sheetView tabSelected="1" workbookViewId="0">
      <selection activeCell="F20" sqref="F20"/>
    </sheetView>
  </sheetViews>
  <sheetFormatPr defaultRowHeight="15" x14ac:dyDescent="0.25"/>
  <cols>
    <col min="1" max="1" width="32.42578125" bestFit="1" customWidth="1"/>
    <col min="3" max="3" width="11.5703125" bestFit="1" customWidth="1"/>
    <col min="4" max="4" width="12" bestFit="1" customWidth="1"/>
  </cols>
  <sheetData>
    <row r="4" spans="1:4" x14ac:dyDescent="0.25">
      <c r="C4" t="s">
        <v>199</v>
      </c>
      <c r="D4" t="s">
        <v>200</v>
      </c>
    </row>
    <row r="6" spans="1:4" x14ac:dyDescent="0.25">
      <c r="A6" t="s">
        <v>201</v>
      </c>
      <c r="C6">
        <f>Εξοπλισμός!B37+Εξοπλισμός!F19+Εξοπλισμός!J24</f>
        <v>71256.44405528334</v>
      </c>
      <c r="D6">
        <f>Εξοπλισμός!B37+Εξοπλισμός!F19+Εξοπλισμός!J24</f>
        <v>71256.44405528334</v>
      </c>
    </row>
    <row r="7" spans="1:4" x14ac:dyDescent="0.25">
      <c r="A7" t="s">
        <v>202</v>
      </c>
      <c r="C7">
        <f>'Κόστος Πάγιας Επένδυσης'!B3</f>
        <v>85507.732866340011</v>
      </c>
      <c r="D7">
        <f>'Κόστος Πάγιας Επένδυσης'!G27</f>
        <v>424474.63723732287</v>
      </c>
    </row>
    <row r="8" spans="1:4" x14ac:dyDescent="0.25">
      <c r="A8" t="s">
        <v>177</v>
      </c>
      <c r="C8">
        <f>'Πρώτες και Βοηθητικές Ύλες'!B39</f>
        <v>322146465.98294121</v>
      </c>
      <c r="D8">
        <f>'Πρώτες και Βοηθητικές Ύλες'!J25</f>
        <v>265168298.86940891</v>
      </c>
    </row>
    <row r="9" spans="1:4" x14ac:dyDescent="0.25">
      <c r="A9" s="5" t="s">
        <v>182</v>
      </c>
      <c r="C9">
        <f>'Οικονομικοί Όροι Α'' ΤΡΟΠΟΣ'!B11</f>
        <v>24747011.137058794</v>
      </c>
      <c r="D9">
        <f>'Οικονομικοί Όροι Β'' ΤΡΟΠΟΣ'!B11</f>
        <v>81725178.250591099</v>
      </c>
    </row>
    <row r="10" spans="1:4" x14ac:dyDescent="0.25">
      <c r="A10" s="5" t="s">
        <v>183</v>
      </c>
      <c r="C10">
        <f>'Οικονομικοί Όροι Α'' ΤΡΟΠΟΣ'!B12</f>
        <v>18312788.241423506</v>
      </c>
      <c r="D10">
        <f>'Οικονομικοί Όροι Β'' ΤΡΟΠΟΣ'!B12</f>
        <v>60476631.90543741</v>
      </c>
    </row>
    <row r="11" spans="1:4" x14ac:dyDescent="0.25">
      <c r="A11" s="5" t="s">
        <v>188</v>
      </c>
      <c r="C11">
        <f>'Οικονομικοί Όροι Α'' ΤΡΟΠΟΣ'!B16</f>
        <v>0</v>
      </c>
      <c r="D11">
        <f>'Οικονομικοί Όροι Β'' ΤΡΟΠΟΣ'!B16</f>
        <v>0</v>
      </c>
    </row>
    <row r="12" spans="1:4" x14ac:dyDescent="0.25">
      <c r="A12" s="5" t="s">
        <v>189</v>
      </c>
      <c r="C12">
        <f>'Οικονομικοί Όροι Α'' ΤΡΟΠΟΣ'!B17</f>
        <v>0</v>
      </c>
      <c r="D12">
        <f>'Οικονομικοί Όροι Β'' ΤΡΟΠΟΣ'!B17</f>
        <v>0</v>
      </c>
    </row>
    <row r="13" spans="1:4" x14ac:dyDescent="0.25">
      <c r="A13" s="4" t="s">
        <v>196</v>
      </c>
      <c r="C13">
        <f>'Οικονομικοί Όροι Α'' ΤΡΟΠΟΣ'!B23</f>
        <v>16.716380295829275</v>
      </c>
      <c r="D13">
        <f>'Οικονομικοί Όροι Β'' ΤΡΟΠΟΣ'!B23</f>
        <v>13.761740141987342</v>
      </c>
    </row>
    <row r="14" spans="1:4" x14ac:dyDescent="0.25">
      <c r="A14" s="4" t="s">
        <v>197</v>
      </c>
      <c r="C14">
        <f>'Οικονομικοί Όροι Α'' ΤΡΟΠΟΣ'!B24</f>
        <v>16.719753796929712</v>
      </c>
      <c r="D14">
        <f>'Οικονομικοί Όροι Β'' ΤΡΟΠΟΣ'!B24</f>
        <v>13.763206394481996</v>
      </c>
    </row>
    <row r="15" spans="1:4" x14ac:dyDescent="0.25">
      <c r="A15" s="4" t="s">
        <v>196</v>
      </c>
      <c r="C15">
        <f>'Οικονομικοί Όροι Α'' ΤΡΟΠΟΣ'!B26</f>
        <v>20.008944799058071</v>
      </c>
      <c r="D15">
        <f>'Οικονομικοί Όροι Β'' ΤΡΟΠΟΣ'!B26</f>
        <v>16.492254999476827</v>
      </c>
    </row>
    <row r="16" spans="1:4" x14ac:dyDescent="0.25">
      <c r="A16" s="4" t="s">
        <v>197</v>
      </c>
      <c r="C16">
        <f>'Οικονομικοί Όροι Α'' ΤΡΟΠΟΣ'!B27</f>
        <v>20.675458737927489</v>
      </c>
      <c r="D16">
        <f>'Οικονομικοί Όροι Β'' ΤΡΟΠΟΣ'!B27</f>
        <v>17.038265268436341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Πίνακες</vt:lpstr>
      <vt:lpstr>Εξοπλισμός</vt:lpstr>
      <vt:lpstr>Κόστος Πάγιας Επένδυσης</vt:lpstr>
      <vt:lpstr>Πρώτες και Βοηθητικές Ύλες</vt:lpstr>
      <vt:lpstr>Οικονομικοί Όροι Α' ΤΡΟΠΟΣ</vt:lpstr>
      <vt:lpstr>Οικονομικοί Όροι Β' ΤΡΟΠΟΣ</vt:lpstr>
      <vt:lpstr>Σύγκριση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Ipsakis</dc:creator>
  <cp:lastModifiedBy>Dimitris Ipsakis</cp:lastModifiedBy>
  <dcterms:created xsi:type="dcterms:W3CDTF">2019-04-19T09:23:28Z</dcterms:created>
  <dcterms:modified xsi:type="dcterms:W3CDTF">2019-05-15T09:17:34Z</dcterms:modified>
</cp:coreProperties>
</file>