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iakavelas_23022021\Σιακαβέλας 12_10_2018\10. Μαθήματα ΠΔΜ\1. Εργαστήριο Χημικής Μηχανικής ΙΙ\9. Green Diesel\"/>
    </mc:Choice>
  </mc:AlternateContent>
  <xr:revisionPtr revIDLastSave="0" documentId="13_ncr:1_{ABB794DF-1708-4AB0-827D-B1AEABAFDAEB}" xr6:coauthVersionLast="47" xr6:coauthVersionMax="47" xr10:uidLastSave="{00000000-0000-0000-0000-000000000000}"/>
  <bookViews>
    <workbookView xWindow="-120" yWindow="-120" windowWidth="29040" windowHeight="15840" xr2:uid="{FBF59BD9-827F-48BC-9BB3-409CCCFBAE23}"/>
  </bookViews>
  <sheets>
    <sheet name="ασκηση 1" sheetId="1" r:id="rId1"/>
    <sheet name="ασκηση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  <c r="T3" i="1"/>
  <c r="Z4" i="1"/>
  <c r="W3" i="1"/>
  <c r="F14" i="1" l="1"/>
  <c r="AD9" i="1"/>
  <c r="V9" i="1" l="1"/>
  <c r="AF9" i="1" l="1"/>
  <c r="AE9" i="1"/>
  <c r="AC9" i="1"/>
  <c r="AB3" i="1"/>
  <c r="AA3" i="1"/>
  <c r="B5" i="2"/>
  <c r="B4" i="2"/>
  <c r="B3" i="2"/>
  <c r="C3" i="2"/>
  <c r="C5" i="2"/>
  <c r="D5" i="2"/>
  <c r="E5" i="2" s="1"/>
  <c r="D4" i="2"/>
  <c r="E4" i="2" s="1"/>
  <c r="D3" i="2"/>
  <c r="E3" i="2" s="1"/>
  <c r="C4" i="2"/>
  <c r="Q15" i="1"/>
  <c r="Q16" i="1"/>
  <c r="Q17" i="1"/>
  <c r="Q18" i="1"/>
  <c r="Q19" i="1"/>
  <c r="Q20" i="1"/>
  <c r="Q14" i="1"/>
  <c r="F15" i="1"/>
  <c r="G15" i="1"/>
  <c r="H15" i="1"/>
  <c r="I15" i="1"/>
  <c r="K15" i="1"/>
  <c r="L15" i="1"/>
  <c r="M15" i="1"/>
  <c r="F16" i="1"/>
  <c r="G16" i="1"/>
  <c r="H16" i="1"/>
  <c r="I16" i="1"/>
  <c r="K16" i="1"/>
  <c r="L16" i="1"/>
  <c r="M16" i="1"/>
  <c r="F17" i="1"/>
  <c r="G17" i="1"/>
  <c r="H17" i="1"/>
  <c r="I17" i="1"/>
  <c r="K17" i="1"/>
  <c r="L17" i="1"/>
  <c r="M17" i="1"/>
  <c r="F18" i="1"/>
  <c r="G18" i="1"/>
  <c r="H18" i="1"/>
  <c r="I18" i="1"/>
  <c r="K18" i="1"/>
  <c r="L18" i="1"/>
  <c r="M18" i="1"/>
  <c r="F19" i="1"/>
  <c r="G19" i="1"/>
  <c r="H19" i="1"/>
  <c r="I19" i="1"/>
  <c r="K19" i="1"/>
  <c r="L19" i="1"/>
  <c r="M19" i="1"/>
  <c r="F20" i="1"/>
  <c r="G20" i="1"/>
  <c r="H20" i="1"/>
  <c r="I20" i="1"/>
  <c r="K20" i="1"/>
  <c r="L20" i="1"/>
  <c r="M20" i="1"/>
  <c r="C7" i="2" l="1"/>
  <c r="T4" i="1"/>
  <c r="V4" i="1" s="1"/>
  <c r="T5" i="1"/>
  <c r="V5" i="1" s="1"/>
  <c r="T6" i="1"/>
  <c r="V6" i="1" s="1"/>
  <c r="T7" i="1"/>
  <c r="V7" i="1" s="1"/>
  <c r="T8" i="1"/>
  <c r="V8" i="1" s="1"/>
  <c r="T9" i="1"/>
  <c r="T10" i="1"/>
  <c r="V10" i="1" s="1"/>
  <c r="T11" i="1"/>
  <c r="V11" i="1" s="1"/>
  <c r="T12" i="1"/>
  <c r="V12" i="1" s="1"/>
  <c r="V3" i="1"/>
  <c r="H14" i="1"/>
  <c r="O15" i="1"/>
  <c r="O16" i="1"/>
  <c r="O17" i="1"/>
  <c r="O18" i="1"/>
  <c r="O19" i="1"/>
  <c r="O20" i="1"/>
  <c r="O14" i="1"/>
  <c r="N15" i="1"/>
  <c r="N16" i="1"/>
  <c r="N17" i="1"/>
  <c r="N18" i="1"/>
  <c r="N19" i="1"/>
  <c r="N20" i="1"/>
  <c r="N14" i="1"/>
  <c r="M14" i="1"/>
  <c r="L14" i="1"/>
  <c r="K14" i="1"/>
  <c r="I14" i="1"/>
  <c r="G14" i="1"/>
  <c r="C25" i="1"/>
  <c r="P16" i="1" l="1"/>
  <c r="P20" i="1"/>
  <c r="P14" i="1"/>
  <c r="P15" i="1"/>
  <c r="R15" i="1" s="1"/>
  <c r="P19" i="1"/>
  <c r="P17" i="1"/>
  <c r="P18" i="1"/>
  <c r="R18" i="1" s="1"/>
  <c r="AD4" i="1"/>
  <c r="R17" i="1"/>
  <c r="R14" i="1"/>
  <c r="R19" i="1"/>
  <c r="R20" i="1"/>
  <c r="R16" i="1"/>
  <c r="V13" i="1"/>
  <c r="AC6" i="1" l="1"/>
  <c r="Z5" i="1"/>
  <c r="AA7" i="1"/>
  <c r="AA6" i="1"/>
  <c r="AA4" i="1"/>
  <c r="AD5" i="1"/>
  <c r="AB7" i="1"/>
  <c r="AC5" i="1"/>
  <c r="Z9" i="1"/>
  <c r="AD8" i="1"/>
  <c r="AD3" i="1"/>
  <c r="Z6" i="1"/>
  <c r="Z7" i="1"/>
  <c r="Z8" i="1"/>
  <c r="AD7" i="1"/>
  <c r="AD6" i="1"/>
  <c r="AF3" i="1"/>
  <c r="AE4" i="1"/>
  <c r="AE5" i="1"/>
  <c r="AE6" i="1"/>
  <c r="AE3" i="1"/>
  <c r="AE7" i="1"/>
  <c r="AE8" i="1"/>
  <c r="AA8" i="1"/>
  <c r="AF6" i="1"/>
  <c r="AF4" i="1"/>
  <c r="AB9" i="1"/>
  <c r="AC3" i="1"/>
  <c r="AF5" i="1"/>
  <c r="AB5" i="1"/>
  <c r="AB6" i="1"/>
  <c r="AC8" i="1"/>
  <c r="AC4" i="1"/>
  <c r="AF8" i="1"/>
  <c r="AA9" i="1"/>
  <c r="AA5" i="1"/>
  <c r="AB8" i="1"/>
  <c r="AB4" i="1"/>
  <c r="AC7" i="1"/>
  <c r="AF7" i="1"/>
</calcChain>
</file>

<file path=xl/sharedStrings.xml><?xml version="1.0" encoding="utf-8"?>
<sst xmlns="http://schemas.openxmlformats.org/spreadsheetml/2006/main" count="86" uniqueCount="47">
  <si>
    <t>Myristic C14:0</t>
  </si>
  <si>
    <t>Lauric  C12:0</t>
  </si>
  <si>
    <t>Palmitic C16:0</t>
  </si>
  <si>
    <t>Palmitoleic C16:1</t>
  </si>
  <si>
    <t>Stearic C18:0</t>
  </si>
  <si>
    <t>Oleic C18:1</t>
  </si>
  <si>
    <t>Linolenic C18:3</t>
  </si>
  <si>
    <t>Arachidic C20:0</t>
  </si>
  <si>
    <t>Eicosenoic C20:1</t>
  </si>
  <si>
    <t>Linoleic C18:2</t>
  </si>
  <si>
    <t>Συστατικό</t>
  </si>
  <si>
    <t>wt%</t>
  </si>
  <si>
    <t>a/a</t>
  </si>
  <si>
    <t>ΑΝΤΙΔΡΩΝ</t>
  </si>
  <si>
    <t>hr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</si>
  <si>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</si>
  <si>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</si>
  <si>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</si>
  <si>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</si>
  <si>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</si>
  <si>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</si>
  <si>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</si>
  <si>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</si>
  <si>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</si>
  <si>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</si>
  <si>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</si>
  <si>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-</t>
  </si>
  <si>
    <t>ΜΟΡΙΑΚΑ ΒΑΡΗ (g/mol)</t>
  </si>
  <si>
    <t>total</t>
  </si>
  <si>
    <t>mol</t>
  </si>
  <si>
    <t>Conv TG(%)</t>
  </si>
  <si>
    <t>Y(C15)</t>
  </si>
  <si>
    <t>Y(C16)</t>
  </si>
  <si>
    <t>Y(C17)</t>
  </si>
  <si>
    <t>Y(C18)</t>
  </si>
  <si>
    <t>mol C16-C18</t>
  </si>
  <si>
    <t>HDO(%)</t>
  </si>
  <si>
    <t>DCO/DCO2 (%)</t>
  </si>
  <si>
    <t>mr(i) (g/mol)</t>
  </si>
  <si>
    <t>g(i)</t>
  </si>
  <si>
    <t>C18II</t>
  </si>
  <si>
    <t>k</t>
  </si>
  <si>
    <t>lnk</t>
  </si>
  <si>
    <t>T(K)</t>
  </si>
  <si>
    <t>1/T</t>
  </si>
  <si>
    <t>Ea</t>
  </si>
  <si>
    <t>mpalmoil (g)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</si>
</sst>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1" fontId="0" fillId="0" borderId="1" xfId="0" applyNumberFormat="1" applyBorder="1"/>
    <xf numFmtId="11" fontId="0" fillId="0" borderId="1" xfId="0" applyNumberFormat="1" applyBorder="1" applyAlignment="1">
      <alignment horizontal="center"/>
    </xf>
    <xf numFmtId="0" fontId="1" fillId="3" borderId="0" xfId="0" applyFont="1" applyFill="1"/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2" fontId="0" fillId="0" borderId="0" xfId="0" applyNumberFormat="1"/>
    <xf numFmtId="0" fontId="1" fillId="5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l-GR"/>
              <a:t>Γραμμικοποιημένη</a:t>
            </a:r>
            <a:r>
              <a:rPr lang="el-GR" baseline="0"/>
              <a:t> γρ. παράσταση από την εξίσωση </a:t>
            </a:r>
            <a:r>
              <a:rPr lang="en-US" baseline="0"/>
              <a:t>Arrhenius</a:t>
            </a:r>
            <a:endParaRPr lang="el-G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l-G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3294619422572177E-2"/>
                  <c:y val="2.041411490230387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l-GR"/>
                </a:p>
              </c:txPr>
            </c:trendlineLbl>
          </c:trendline>
          <c:xVal>
            <c:numRef>
              <c:f>'ασκηση 2'!$E$3:$E$5</c:f>
              <c:numCache>
                <c:formatCode>General</c:formatCode>
                <c:ptCount val="3"/>
                <c:pt idx="0">
                  <c:v>1.7452006980802793E-3</c:v>
                </c:pt>
                <c:pt idx="1">
                  <c:v>1.6722408026755853E-3</c:v>
                </c:pt>
                <c:pt idx="2">
                  <c:v>1.4858841010401188E-3</c:v>
                </c:pt>
              </c:numCache>
            </c:numRef>
          </c:xVal>
          <c:yVal>
            <c:numRef>
              <c:f>'ασκηση 2'!$C$3:$C$5</c:f>
              <c:numCache>
                <c:formatCode>General</c:formatCode>
                <c:ptCount val="3"/>
                <c:pt idx="0">
                  <c:v>-7.5032314323686364</c:v>
                </c:pt>
                <c:pt idx="1">
                  <c:v>-6.8002470712668517</c:v>
                </c:pt>
                <c:pt idx="2">
                  <c:v>-6.402143222269034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38-4089-ADA7-5E43942CC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077896"/>
        <c:axId val="515078552"/>
      </c:scatterChart>
      <c:valAx>
        <c:axId val="515077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1/T</a:t>
                </a:r>
                <a:endParaRPr lang="el-G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15078552"/>
        <c:crosses val="autoZero"/>
        <c:crossBetween val="midCat"/>
      </c:valAx>
      <c:valAx>
        <c:axId val="51507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lnk</a:t>
                </a:r>
                <a:endParaRPr lang="el-G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l-G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l-GR"/>
          </a:p>
        </c:txPr>
        <c:crossAx val="515077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l-G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0</xdr:row>
      <xdr:rowOff>0</xdr:rowOff>
    </xdr:from>
    <xdr:ext cx="2266950" cy="2381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48300" y="0"/>
          <a:ext cx="2266950" cy="238125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l-GR" sz="1100" b="1"/>
            <a:t>Υγρά προϊόντα</a:t>
          </a:r>
          <a:r>
            <a:rPr lang="el-GR" sz="1100" b="1" baseline="0"/>
            <a:t> στην έξοδο σε μ</a:t>
          </a:r>
          <a:r>
            <a:rPr lang="en-US" sz="1100" b="1" baseline="0"/>
            <a:t>g/mL</a:t>
          </a:r>
          <a:endParaRPr lang="el-GR" sz="1100" b="1"/>
        </a:p>
      </xdr:txBody>
    </xdr:sp>
    <xdr:clientData/>
  </xdr:oneCellAnchor>
  <xdr:oneCellAnchor>
    <xdr:from>
      <xdr:col>6</xdr:col>
      <xdr:colOff>590550</xdr:colOff>
      <xdr:row>10</xdr:row>
      <xdr:rowOff>76200</xdr:rowOff>
    </xdr:from>
    <xdr:ext cx="3335272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57750" y="2038350"/>
          <a:ext cx="333527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l-GR" sz="1100" b="1" baseline="0"/>
            <a:t>Υγρά προϊόντα  σε </a:t>
          </a:r>
          <a:r>
            <a:rPr lang="en-US" sz="1100" b="1" baseline="0"/>
            <a:t>mol</a:t>
          </a:r>
          <a:r>
            <a:rPr lang="el-GR" sz="1100" b="1"/>
            <a:t> (για</a:t>
          </a:r>
          <a:r>
            <a:rPr lang="el-GR" sz="1100" b="1" baseline="0"/>
            <a:t> </a:t>
          </a:r>
          <a:r>
            <a:rPr lang="el-GR" sz="1100" b="1"/>
            <a:t>10 </a:t>
          </a:r>
          <a:r>
            <a:rPr lang="en-US" sz="1100" b="1"/>
            <a:t>mL </a:t>
          </a:r>
          <a:r>
            <a:rPr lang="el-GR" sz="1100" b="1"/>
            <a:t>και 0,2</a:t>
          </a:r>
          <a:r>
            <a:rPr lang="en-US" sz="1100" b="1"/>
            <a:t>g </a:t>
          </a:r>
          <a:r>
            <a:rPr lang="el-GR" sz="1100" b="1"/>
            <a:t>δειγματος)</a:t>
          </a:r>
        </a:p>
      </xdr:txBody>
    </xdr:sp>
    <xdr:clientData/>
  </xdr:oneCellAnchor>
  <xdr:oneCellAnchor>
    <xdr:from>
      <xdr:col>20</xdr:col>
      <xdr:colOff>247650</xdr:colOff>
      <xdr:row>0</xdr:row>
      <xdr:rowOff>1</xdr:rowOff>
    </xdr:from>
    <xdr:ext cx="1304588" cy="19050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763375" y="1"/>
          <a:ext cx="1304588" cy="19050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l-GR" sz="1100"/>
            <a:t>Τροφοδοσία</a:t>
          </a:r>
          <a:r>
            <a:rPr lang="el-GR" sz="1100" baseline="0"/>
            <a:t> </a:t>
          </a:r>
          <a:r>
            <a:rPr lang="en-US" sz="1100" baseline="0"/>
            <a:t>(Feed)</a:t>
          </a:r>
          <a:endParaRPr lang="el-GR" sz="1100"/>
        </a:p>
      </xdr:txBody>
    </xdr:sp>
    <xdr:clientData/>
  </xdr:oneCellAnchor>
  <xdr:oneCellAnchor>
    <xdr:from>
      <xdr:col>3</xdr:col>
      <xdr:colOff>561974</xdr:colOff>
      <xdr:row>20</xdr:row>
      <xdr:rowOff>57150</xdr:rowOff>
    </xdr:from>
    <xdr:ext cx="8391525" cy="60901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00374" y="3924300"/>
          <a:ext cx="8391525" cy="609013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l-GR" sz="1100"/>
            <a:t>Για να μετατρέψω τα υγρά</a:t>
          </a:r>
          <a:r>
            <a:rPr lang="el-GR" sz="1100" baseline="0"/>
            <a:t> προϊόντα από μ</a:t>
          </a:r>
          <a:r>
            <a:rPr lang="en-US" sz="1100" baseline="0"/>
            <a:t>g/mL</a:t>
          </a:r>
          <a:r>
            <a:rPr lang="el-GR" sz="1100" baseline="0"/>
            <a:t> σε </a:t>
          </a:r>
          <a:r>
            <a:rPr lang="en-US" sz="1100" baseline="0"/>
            <a:t>mol</a:t>
          </a:r>
          <a:r>
            <a:rPr lang="el-GR" sz="1100" baseline="0"/>
            <a:t>, θα πάρω τα δεδομένα του πίνακα, θα πολλαπλασιάσω με 10^(-6) για να μετατραπούν τα μ</a:t>
          </a:r>
          <a:r>
            <a:rPr lang="en-US" sz="1100" baseline="0"/>
            <a:t>g</a:t>
          </a:r>
          <a:r>
            <a:rPr lang="el-GR" sz="1100" baseline="0"/>
            <a:t> σε </a:t>
          </a:r>
          <a:r>
            <a:rPr lang="en-US" sz="1100" baseline="0"/>
            <a:t>g</a:t>
          </a:r>
          <a:r>
            <a:rPr lang="el-GR" sz="1100" baseline="0"/>
            <a:t> και θα πολλαπλασιάσω με 10 </a:t>
          </a:r>
          <a:r>
            <a:rPr lang="en-US" sz="1100" baseline="0"/>
            <a:t>(</a:t>
          </a:r>
          <a:r>
            <a:rPr lang="el-GR" sz="1100" baseline="0"/>
            <a:t>10 </a:t>
          </a:r>
          <a:r>
            <a:rPr lang="en-US" sz="1100" baseline="0"/>
            <a:t>mL</a:t>
          </a:r>
          <a:r>
            <a:rPr lang="el-GR" sz="1100" baseline="0"/>
            <a:t> όγκος του δείγματος για ανάλυση). Άρα έχω τα </a:t>
          </a:r>
          <a:r>
            <a:rPr lang="en-US" sz="1100" baseline="0"/>
            <a:t>g</a:t>
          </a:r>
          <a:r>
            <a:rPr lang="el-GR" sz="1100" baseline="0"/>
            <a:t> των προϊόντων, έτσι στο τέλος θα διαιρέσω με το </a:t>
          </a:r>
          <a:r>
            <a:rPr lang="en-US" sz="1100" baseline="0"/>
            <a:t>Mr</a:t>
          </a:r>
          <a:r>
            <a:rPr lang="el-GR" sz="1100" baseline="0"/>
            <a:t> (</a:t>
          </a:r>
          <a:r>
            <a:rPr lang="en-US" sz="1100" baseline="0"/>
            <a:t>g/mol)</a:t>
          </a:r>
          <a:r>
            <a:rPr lang="el-GR" sz="1100" baseline="0"/>
            <a:t> κάθε ένωσης για να προκύψουν τα </a:t>
          </a:r>
          <a:r>
            <a:rPr lang="en-US" sz="1100" baseline="0"/>
            <a:t>mol </a:t>
          </a:r>
          <a:r>
            <a:rPr lang="el-GR" sz="1100" baseline="0"/>
            <a:t>ως μονάδες.</a:t>
          </a:r>
          <a:endParaRPr lang="el-GR" sz="1100"/>
        </a:p>
      </xdr:txBody>
    </xdr:sp>
    <xdr:clientData/>
  </xdr:oneCellAnchor>
  <xdr:oneCellAnchor>
    <xdr:from>
      <xdr:col>16</xdr:col>
      <xdr:colOff>27214</xdr:colOff>
      <xdr:row>0</xdr:row>
      <xdr:rowOff>40822</xdr:rowOff>
    </xdr:from>
    <xdr:ext cx="2462893" cy="228599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844893" y="40822"/>
          <a:ext cx="2462893" cy="2285999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l-GR" sz="1100"/>
            <a:t>Εφόσον στην</a:t>
          </a:r>
          <a:r>
            <a:rPr lang="el-GR" sz="1100" baseline="0"/>
            <a:t> έξοδο παίρνουμε 0,2 </a:t>
          </a:r>
          <a:r>
            <a:rPr lang="en-US" sz="1100" baseline="0"/>
            <a:t>g</a:t>
          </a:r>
          <a:r>
            <a:rPr lang="el-GR" sz="1100" baseline="0"/>
            <a:t> δείγματος, από το ολικό ισοζύγιο μάζας θεωρούμε ότι και η ολική τροφοδοσία θα ήταν 0,2 </a:t>
          </a:r>
          <a:r>
            <a:rPr lang="en-US" sz="1100" baseline="0"/>
            <a:t>g</a:t>
          </a:r>
          <a:r>
            <a:rPr lang="el-GR" sz="1100" baseline="0"/>
            <a:t>. Από τα δεδομένα γνωρίζουμε ότι έχουμε </a:t>
          </a:r>
          <a:r>
            <a:rPr lang="en-US" sz="1100" baseline="0"/>
            <a:t>5%wt</a:t>
          </a:r>
          <a:r>
            <a:rPr lang="el-GR" sz="1100" baseline="0"/>
            <a:t> φοινικέλαιο σε δωδεκάνιο. Άρα προκύπτεί ότι η μάζα του φοινικέλαιου έιναι 0,01</a:t>
          </a:r>
          <a:r>
            <a:rPr lang="en-US" sz="1100" baseline="0"/>
            <a:t>g</a:t>
          </a:r>
          <a:r>
            <a:rPr lang="el-GR" sz="1100" baseline="0"/>
            <a:t>. Με αυτή θα πολλαπλασιάσουμε όλα τα ποσοστά των συστατικών της τροφοδοσίας και στο τέλος θα διαιρέσουμε με τα </a:t>
          </a:r>
          <a:r>
            <a:rPr lang="en-US" sz="1100" baseline="0"/>
            <a:t>Mr </a:t>
          </a:r>
          <a:r>
            <a:rPr lang="el-GR" sz="1100" baseline="0"/>
            <a:t>για να βρούμε τα </a:t>
          </a:r>
          <a:r>
            <a:rPr lang="en-US" sz="1100" baseline="0"/>
            <a:t>mol </a:t>
          </a:r>
          <a:r>
            <a:rPr lang="el-GR" sz="1100" baseline="0"/>
            <a:t>της τροφοδοσίας.</a:t>
          </a:r>
          <a:endParaRPr lang="el-G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3</xdr:row>
      <xdr:rowOff>185737</xdr:rowOff>
    </xdr:from>
    <xdr:to>
      <xdr:col>12</xdr:col>
      <xdr:colOff>400050</xdr:colOff>
      <xdr:row>18</xdr:row>
      <xdr:rowOff>71437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533400</xdr:colOff>
      <xdr:row>9</xdr:row>
      <xdr:rowOff>76200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43000" y="1790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l-G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495300</xdr:colOff>
          <xdr:row>1</xdr:row>
          <xdr:rowOff>9525</xdr:rowOff>
        </xdr:from>
        <xdr:to>
          <xdr:col>10</xdr:col>
          <xdr:colOff>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A490-BC37-4DD5-A97E-A24E670E0B99}">
  <dimension ref="A1:AF26"/>
  <sheetViews>
    <sheetView tabSelected="1" zoomScale="85" zoomScaleNormal="85" workbookViewId="0">
      <selection activeCell="F30" sqref="F30"/>
    </sheetView>
  </sheetViews>
  <sheetFormatPr defaultRowHeight="15" x14ac:dyDescent="0.25"/>
  <cols>
    <col min="2" max="2" width="18.28515625" customWidth="1"/>
    <col min="6" max="6" width="12.28515625" bestFit="1" customWidth="1"/>
    <col min="10" max="10" width="4.85546875" customWidth="1"/>
    <col min="11" max="11" width="9.5703125" bestFit="1" customWidth="1"/>
    <col min="15" max="15" width="16.28515625" customWidth="1"/>
    <col min="16" max="18" width="12" bestFit="1" customWidth="1"/>
    <col min="19" max="19" width="13.42578125" customWidth="1"/>
    <col min="21" max="23" width="12" bestFit="1" customWidth="1"/>
    <col min="24" max="24" width="12" customWidth="1"/>
    <col min="25" max="25" width="8.42578125" customWidth="1"/>
    <col min="26" max="26" width="11.140625" customWidth="1"/>
    <col min="27" max="30" width="12" bestFit="1" customWidth="1"/>
    <col min="31" max="31" width="11" bestFit="1" customWidth="1"/>
    <col min="32" max="32" width="14.85546875" customWidth="1"/>
    <col min="33" max="33" width="12" bestFit="1" customWidth="1"/>
  </cols>
  <sheetData>
    <row r="1" spans="1:32" ht="19.5" customHeight="1" x14ac:dyDescent="0.25">
      <c r="B1" s="15" t="s">
        <v>13</v>
      </c>
    </row>
    <row r="2" spans="1:32" x14ac:dyDescent="0.25">
      <c r="A2" s="2" t="s">
        <v>12</v>
      </c>
      <c r="B2" s="2" t="s">
        <v>10</v>
      </c>
      <c r="C2" s="2" t="s">
        <v>11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19</v>
      </c>
      <c r="K2" s="2" t="s">
        <v>20</v>
      </c>
      <c r="L2" s="2" t="s">
        <v>21</v>
      </c>
      <c r="M2" s="2" t="s">
        <v>22</v>
      </c>
      <c r="N2" s="2" t="s">
        <v>23</v>
      </c>
      <c r="O2" s="2" t="s">
        <v>24</v>
      </c>
      <c r="P2" s="2" t="s">
        <v>25</v>
      </c>
      <c r="T2" s="10" t="s">
        <v>39</v>
      </c>
      <c r="U2" s="10" t="s">
        <v>38</v>
      </c>
      <c r="V2" s="10" t="s">
        <v>29</v>
      </c>
      <c r="W2" s="11" t="s">
        <v>35</v>
      </c>
      <c r="X2" s="7"/>
      <c r="Y2" s="10" t="s">
        <v>14</v>
      </c>
      <c r="Z2" s="10" t="s">
        <v>30</v>
      </c>
      <c r="AA2" s="10" t="s">
        <v>31</v>
      </c>
      <c r="AB2" s="10" t="s">
        <v>32</v>
      </c>
      <c r="AC2" s="10" t="s">
        <v>33</v>
      </c>
      <c r="AD2" s="10" t="s">
        <v>34</v>
      </c>
      <c r="AE2" s="10" t="s">
        <v>36</v>
      </c>
      <c r="AF2" s="10" t="s">
        <v>37</v>
      </c>
    </row>
    <row r="3" spans="1:32" x14ac:dyDescent="0.25">
      <c r="A3" s="3">
        <v>1</v>
      </c>
      <c r="B3" s="3" t="s">
        <v>1</v>
      </c>
      <c r="C3" s="3">
        <v>0.4</v>
      </c>
      <c r="E3" s="3">
        <v>0</v>
      </c>
      <c r="F3" s="3">
        <v>25.01</v>
      </c>
      <c r="G3" s="3">
        <v>17.54</v>
      </c>
      <c r="H3" s="3">
        <v>20.49</v>
      </c>
      <c r="I3" s="3">
        <v>21.41</v>
      </c>
      <c r="J3" s="3" t="s">
        <v>26</v>
      </c>
      <c r="K3" s="3">
        <v>18.739999999999998</v>
      </c>
      <c r="L3" s="3">
        <v>20.9</v>
      </c>
      <c r="M3" s="3">
        <v>227.74</v>
      </c>
      <c r="N3" s="3">
        <v>76.16</v>
      </c>
      <c r="O3" s="3">
        <v>515.16</v>
      </c>
      <c r="P3" s="3">
        <v>39.729999999999997</v>
      </c>
      <c r="T3" s="4">
        <f>(C3/100)*$P$11</f>
        <v>4.0000000000000003E-5</v>
      </c>
      <c r="U3" s="3">
        <v>200.31780000000001</v>
      </c>
      <c r="V3" s="6">
        <f>T3/U3</f>
        <v>1.9968270418305315E-7</v>
      </c>
      <c r="W3" s="5">
        <f>V5+V7+V8+V9+V6+V10</f>
        <v>3.6210484829033204E-5</v>
      </c>
      <c r="Y3" s="3">
        <v>0</v>
      </c>
      <c r="Z3" s="8">
        <f>($W$3-(N14+P14+Q14))/$W$3*100</f>
        <v>86.626300556095089</v>
      </c>
      <c r="AA3" s="9">
        <f>(M14/$W$3)*100</f>
        <v>29.608034088626091</v>
      </c>
      <c r="AB3" s="9">
        <f>(N14/$W$3)*100</f>
        <v>9.2895995038961559</v>
      </c>
      <c r="AC3" s="9">
        <f t="shared" ref="AA3:AC9" si="0">(O14/$W$3)*100</f>
        <v>59.162550943516734</v>
      </c>
      <c r="AD3" s="9">
        <f>((P14+Q14)/$W$3)*100</f>
        <v>4.0840999400087599</v>
      </c>
      <c r="AE3" s="8">
        <f>(N14+P14+Q14)/$W$3*100</f>
        <v>13.373699443904915</v>
      </c>
      <c r="AF3" s="8">
        <f>((M14+O14)/$W$3)*100</f>
        <v>88.770585032142819</v>
      </c>
    </row>
    <row r="4" spans="1:32" x14ac:dyDescent="0.25">
      <c r="A4" s="3">
        <v>2</v>
      </c>
      <c r="B4" s="3" t="s">
        <v>0</v>
      </c>
      <c r="C4" s="3">
        <v>0.8</v>
      </c>
      <c r="E4" s="3">
        <v>1</v>
      </c>
      <c r="F4" s="3">
        <v>24.29</v>
      </c>
      <c r="G4" s="3">
        <v>22.01</v>
      </c>
      <c r="H4" s="3">
        <v>26.34</v>
      </c>
      <c r="I4" s="3">
        <v>17.3</v>
      </c>
      <c r="J4" s="3" t="s">
        <v>26</v>
      </c>
      <c r="K4" s="3">
        <v>21.33</v>
      </c>
      <c r="L4" s="3">
        <v>22.05</v>
      </c>
      <c r="M4" s="3">
        <v>205.85</v>
      </c>
      <c r="N4" s="3">
        <v>57.06</v>
      </c>
      <c r="O4" s="3">
        <v>495.29</v>
      </c>
      <c r="P4" s="3">
        <v>39.75</v>
      </c>
      <c r="Q4" s="1"/>
      <c r="T4" s="4">
        <f t="shared" ref="T4:T12" si="1">(C4/100)*$P$11</f>
        <v>8.0000000000000007E-5</v>
      </c>
      <c r="U4" s="3">
        <v>228.37</v>
      </c>
      <c r="V4" s="6">
        <f t="shared" ref="V4:V12" si="2">T4/U4</f>
        <v>3.503087095502912E-7</v>
      </c>
      <c r="Y4" s="3">
        <v>1</v>
      </c>
      <c r="Z4" s="8">
        <f>($W$3-(N15+P15+Q15))/$W$3*100</f>
        <v>88.953962991592732</v>
      </c>
      <c r="AA4" s="9">
        <f t="shared" si="0"/>
        <v>26.762157798997453</v>
      </c>
      <c r="AB4" s="9">
        <f t="shared" si="0"/>
        <v>6.9598811409179975</v>
      </c>
      <c r="AC4" s="9">
        <f t="shared" si="0"/>
        <v>56.880619335380075</v>
      </c>
      <c r="AD4" s="9">
        <f t="shared" ref="AD4:AD8" si="3">((P15+Q15)/$W$3)*100</f>
        <v>4.086155867489258</v>
      </c>
      <c r="AE4" s="8">
        <f t="shared" ref="AE4:AE8" si="4">(N15+P15+Q15)/$W$3*100</f>
        <v>11.046037008407257</v>
      </c>
      <c r="AF4" s="8">
        <f t="shared" ref="AF4:AF8" si="5">(M15+O15)/$W$3*100</f>
        <v>83.642777134377539</v>
      </c>
    </row>
    <row r="5" spans="1:32" x14ac:dyDescent="0.25">
      <c r="A5" s="3">
        <v>3</v>
      </c>
      <c r="B5" s="3" t="s">
        <v>2</v>
      </c>
      <c r="C5" s="3">
        <v>37.4</v>
      </c>
      <c r="E5" s="3">
        <v>2</v>
      </c>
      <c r="F5" s="3">
        <v>21.98</v>
      </c>
      <c r="G5" s="3">
        <v>13.42</v>
      </c>
      <c r="H5" s="3">
        <v>15.24</v>
      </c>
      <c r="I5" s="3">
        <v>19.29</v>
      </c>
      <c r="J5" s="3" t="s">
        <v>26</v>
      </c>
      <c r="K5" s="3">
        <v>16.72</v>
      </c>
      <c r="L5" s="3">
        <v>21.96</v>
      </c>
      <c r="M5" s="3">
        <v>203.74</v>
      </c>
      <c r="N5" s="3">
        <v>73.069999999999993</v>
      </c>
      <c r="O5" s="3">
        <v>539.21</v>
      </c>
      <c r="P5" s="3">
        <v>43.45</v>
      </c>
      <c r="Q5" s="1"/>
      <c r="T5" s="4">
        <f t="shared" si="1"/>
        <v>3.7400000000000003E-3</v>
      </c>
      <c r="U5" s="3">
        <v>256.39999999999998</v>
      </c>
      <c r="V5" s="6">
        <f t="shared" si="2"/>
        <v>1.4586583463338535E-5</v>
      </c>
      <c r="Y5" s="3">
        <v>2</v>
      </c>
      <c r="Z5" s="8">
        <f t="shared" ref="Z5:Z9" si="6">($W$3-(N16+P16+Q16))/$W$3*100</f>
        <v>86.62080012543467</v>
      </c>
      <c r="AA5" s="9">
        <f t="shared" si="0"/>
        <v>26.487840806255718</v>
      </c>
      <c r="AB5" s="9">
        <f t="shared" si="0"/>
        <v>8.9126974231839835</v>
      </c>
      <c r="AC5" s="9">
        <f t="shared" si="0"/>
        <v>61.924526543702271</v>
      </c>
      <c r="AD5" s="9">
        <f t="shared" si="3"/>
        <v>4.4665024513813396</v>
      </c>
      <c r="AE5" s="8">
        <f t="shared" si="4"/>
        <v>13.379199874565323</v>
      </c>
      <c r="AF5" s="8">
        <f t="shared" si="5"/>
        <v>88.412367349957989</v>
      </c>
    </row>
    <row r="6" spans="1:32" x14ac:dyDescent="0.25">
      <c r="A6" s="3">
        <v>4</v>
      </c>
      <c r="B6" s="3" t="s">
        <v>3</v>
      </c>
      <c r="C6" s="3">
        <v>0.2</v>
      </c>
      <c r="E6" s="3">
        <v>3</v>
      </c>
      <c r="F6" s="3">
        <v>26.93</v>
      </c>
      <c r="G6" s="3">
        <v>24.39</v>
      </c>
      <c r="H6" s="3">
        <v>18.61</v>
      </c>
      <c r="I6" s="3">
        <v>19.739999999999998</v>
      </c>
      <c r="J6" s="3" t="s">
        <v>26</v>
      </c>
      <c r="K6" s="3">
        <v>13.27</v>
      </c>
      <c r="L6" s="3">
        <v>12.4</v>
      </c>
      <c r="M6" s="3">
        <v>201.87</v>
      </c>
      <c r="N6" s="3">
        <v>65.42</v>
      </c>
      <c r="O6" s="3">
        <v>531.96</v>
      </c>
      <c r="P6" s="3">
        <v>39.92</v>
      </c>
      <c r="Q6" s="1"/>
      <c r="T6" s="4">
        <f t="shared" si="1"/>
        <v>2.0000000000000002E-5</v>
      </c>
      <c r="U6" s="3">
        <v>254.41399999999999</v>
      </c>
      <c r="V6" s="6">
        <f t="shared" si="2"/>
        <v>7.8612026067747857E-8</v>
      </c>
      <c r="Y6" s="3">
        <v>3</v>
      </c>
      <c r="Z6" s="8">
        <f t="shared" si="6"/>
        <v>87.916778418767819</v>
      </c>
      <c r="AA6" s="9">
        <f t="shared" si="0"/>
        <v>26.2447257463377</v>
      </c>
      <c r="AB6" s="9">
        <f t="shared" si="0"/>
        <v>7.9795903301586995</v>
      </c>
      <c r="AC6" s="9">
        <f t="shared" si="0"/>
        <v>61.091914356536158</v>
      </c>
      <c r="AD6" s="9">
        <f t="shared" si="3"/>
        <v>4.1036312510734874</v>
      </c>
      <c r="AE6" s="8">
        <f t="shared" si="4"/>
        <v>12.083221581232186</v>
      </c>
      <c r="AF6" s="8">
        <f t="shared" si="5"/>
        <v>87.336640102873858</v>
      </c>
    </row>
    <row r="7" spans="1:32" x14ac:dyDescent="0.25">
      <c r="A7" s="3">
        <v>5</v>
      </c>
      <c r="B7" s="3" t="s">
        <v>4</v>
      </c>
      <c r="C7" s="3">
        <v>3.6</v>
      </c>
      <c r="E7" s="3">
        <v>4</v>
      </c>
      <c r="F7" s="3">
        <v>22.56</v>
      </c>
      <c r="G7" s="3">
        <v>23.47</v>
      </c>
      <c r="H7" s="3">
        <v>12.68</v>
      </c>
      <c r="I7" s="3">
        <v>18.54</v>
      </c>
      <c r="J7" s="3" t="s">
        <v>26</v>
      </c>
      <c r="K7" s="3">
        <v>15.6</v>
      </c>
      <c r="L7" s="3">
        <v>18.37</v>
      </c>
      <c r="M7" s="3">
        <v>201.11</v>
      </c>
      <c r="N7" s="3">
        <v>68.209999999999994</v>
      </c>
      <c r="O7" s="3">
        <v>526.73</v>
      </c>
      <c r="P7" s="3">
        <v>46.29</v>
      </c>
      <c r="Q7" s="1"/>
      <c r="T7" s="4">
        <f t="shared" si="1"/>
        <v>3.6000000000000002E-4</v>
      </c>
      <c r="U7" s="3">
        <v>284.48</v>
      </c>
      <c r="V7" s="6">
        <f t="shared" si="2"/>
        <v>1.2654668166479189E-6</v>
      </c>
      <c r="Y7" s="3">
        <v>4</v>
      </c>
      <c r="Z7" s="8">
        <f t="shared" si="6"/>
        <v>86.92165587053772</v>
      </c>
      <c r="AA7" s="9">
        <f t="shared" si="0"/>
        <v>26.145919625729302</v>
      </c>
      <c r="AB7" s="9">
        <f t="shared" si="0"/>
        <v>8.3198999758502712</v>
      </c>
      <c r="AC7" s="9">
        <f t="shared" si="0"/>
        <v>60.491285151173557</v>
      </c>
      <c r="AD7" s="9">
        <f t="shared" si="3"/>
        <v>4.758444153612019</v>
      </c>
      <c r="AE7" s="8">
        <f t="shared" si="4"/>
        <v>13.078344129462291</v>
      </c>
      <c r="AF7" s="8">
        <f t="shared" si="5"/>
        <v>86.637204776902848</v>
      </c>
    </row>
    <row r="8" spans="1:32" x14ac:dyDescent="0.25">
      <c r="A8" s="3">
        <v>6</v>
      </c>
      <c r="B8" s="3" t="s">
        <v>5</v>
      </c>
      <c r="C8" s="3">
        <v>45.8</v>
      </c>
      <c r="E8" s="3">
        <v>5</v>
      </c>
      <c r="F8" s="3">
        <v>26.33</v>
      </c>
      <c r="G8" s="3">
        <v>17.170000000000002</v>
      </c>
      <c r="H8" s="3">
        <v>13.08</v>
      </c>
      <c r="I8" s="3">
        <v>16.53</v>
      </c>
      <c r="J8" s="3" t="s">
        <v>26</v>
      </c>
      <c r="K8" s="3">
        <v>20.81</v>
      </c>
      <c r="L8" s="3">
        <v>15.17</v>
      </c>
      <c r="M8" s="3">
        <v>200.68</v>
      </c>
      <c r="N8" s="3">
        <v>65.099999999999994</v>
      </c>
      <c r="O8" s="3">
        <v>523.70000000000005</v>
      </c>
      <c r="P8" s="3">
        <v>46.34</v>
      </c>
      <c r="Q8" s="1"/>
      <c r="T8" s="4">
        <f t="shared" si="1"/>
        <v>4.5799999999999999E-3</v>
      </c>
      <c r="U8" s="3">
        <v>282.47000000000003</v>
      </c>
      <c r="V8" s="6">
        <f t="shared" si="2"/>
        <v>1.6214111233051295E-5</v>
      </c>
      <c r="Y8" s="3">
        <v>5</v>
      </c>
      <c r="Z8" s="8">
        <f t="shared" si="6"/>
        <v>87.295857628216694</v>
      </c>
      <c r="AA8" s="9">
        <f t="shared" si="0"/>
        <v>26.090016162753503</v>
      </c>
      <c r="AB8" s="9">
        <f t="shared" si="0"/>
        <v>7.9405583994700599</v>
      </c>
      <c r="AC8" s="9">
        <f t="shared" si="0"/>
        <v>60.143310678468275</v>
      </c>
      <c r="AD8" s="9">
        <f t="shared" si="3"/>
        <v>4.7635839723132634</v>
      </c>
      <c r="AE8" s="8">
        <f t="shared" si="4"/>
        <v>12.704142371783323</v>
      </c>
      <c r="AF8" s="8">
        <f t="shared" si="5"/>
        <v>86.233326841221782</v>
      </c>
    </row>
    <row r="9" spans="1:32" x14ac:dyDescent="0.25">
      <c r="A9" s="3">
        <v>7</v>
      </c>
      <c r="B9" s="3" t="s">
        <v>9</v>
      </c>
      <c r="C9" s="3">
        <v>11.1</v>
      </c>
      <c r="E9" s="3">
        <v>6</v>
      </c>
      <c r="F9" s="3">
        <v>21.89</v>
      </c>
      <c r="G9" s="3">
        <v>25.7</v>
      </c>
      <c r="H9" s="3">
        <v>20.8</v>
      </c>
      <c r="I9" s="3">
        <v>16.71</v>
      </c>
      <c r="J9" s="3" t="s">
        <v>26</v>
      </c>
      <c r="K9" s="3">
        <v>16.399999999999999</v>
      </c>
      <c r="L9" s="3">
        <v>12.82</v>
      </c>
      <c r="M9" s="3">
        <v>201.92</v>
      </c>
      <c r="N9" s="3">
        <v>60.07</v>
      </c>
      <c r="O9" s="3">
        <v>521.83000000000004</v>
      </c>
      <c r="P9" s="3">
        <v>45.38</v>
      </c>
      <c r="Q9" s="1"/>
      <c r="T9" s="4">
        <f t="shared" si="1"/>
        <v>1.1100000000000001E-3</v>
      </c>
      <c r="U9" s="3">
        <v>280.44720000000001</v>
      </c>
      <c r="V9" s="6">
        <f>T9/U9</f>
        <v>3.9579642799072339E-6</v>
      </c>
      <c r="Y9" s="3">
        <v>6</v>
      </c>
      <c r="Z9" s="8">
        <f t="shared" si="6"/>
        <v>88.008075307792609</v>
      </c>
      <c r="AA9" s="9">
        <f t="shared" si="0"/>
        <v>26.251226149009305</v>
      </c>
      <c r="AB9" s="9">
        <f t="shared" si="0"/>
        <v>7.3270252389580115</v>
      </c>
      <c r="AC9" s="9">
        <f>(O20/$W$3)*100</f>
        <v>59.92855415570957</v>
      </c>
      <c r="AD9" s="9">
        <f>((P20+Q20)/$W$3)*100</f>
        <v>4.6648994532493724</v>
      </c>
      <c r="AE9" s="8">
        <f>(N20+P20+Q20)/$W$3*100</f>
        <v>11.991924692207384</v>
      </c>
      <c r="AF9" s="8">
        <f>(M20+O20)/$W$3*100</f>
        <v>86.179780304718861</v>
      </c>
    </row>
    <row r="10" spans="1:32" x14ac:dyDescent="0.25">
      <c r="A10" s="3">
        <v>8</v>
      </c>
      <c r="B10" s="3" t="s">
        <v>6</v>
      </c>
      <c r="C10" s="3">
        <v>0.3</v>
      </c>
      <c r="T10" s="4">
        <f t="shared" si="1"/>
        <v>3.0000000000000001E-5</v>
      </c>
      <c r="U10" s="3">
        <v>278.43</v>
      </c>
      <c r="V10" s="6">
        <f t="shared" si="2"/>
        <v>1.0774701002047193E-7</v>
      </c>
      <c r="Z10" s="12"/>
    </row>
    <row r="11" spans="1:32" x14ac:dyDescent="0.25">
      <c r="A11" s="3">
        <v>9</v>
      </c>
      <c r="B11" s="3" t="s">
        <v>7</v>
      </c>
      <c r="C11" s="3">
        <v>0.3</v>
      </c>
      <c r="O11" s="11" t="s">
        <v>46</v>
      </c>
      <c r="P11" s="3">
        <v>0.01</v>
      </c>
      <c r="Q11" s="1"/>
      <c r="T11" s="4">
        <f t="shared" si="1"/>
        <v>3.0000000000000001E-5</v>
      </c>
      <c r="U11" s="3">
        <v>312.53039999999999</v>
      </c>
      <c r="V11" s="6">
        <f t="shared" si="2"/>
        <v>9.5990662028397885E-8</v>
      </c>
    </row>
    <row r="12" spans="1:32" x14ac:dyDescent="0.25">
      <c r="A12" s="3">
        <v>10</v>
      </c>
      <c r="B12" s="3" t="s">
        <v>8</v>
      </c>
      <c r="C12" s="3">
        <v>0.1</v>
      </c>
      <c r="P12" s="1"/>
      <c r="Q12" s="1"/>
      <c r="T12" s="4">
        <f t="shared" si="1"/>
        <v>1.0000000000000001E-5</v>
      </c>
      <c r="U12" s="3">
        <v>310.51</v>
      </c>
      <c r="V12" s="6">
        <f t="shared" si="2"/>
        <v>3.2205081961933594E-8</v>
      </c>
    </row>
    <row r="13" spans="1:32" x14ac:dyDescent="0.25">
      <c r="E13" s="10" t="s">
        <v>14</v>
      </c>
      <c r="F13" s="10" t="s">
        <v>15</v>
      </c>
      <c r="G13" s="10" t="s">
        <v>16</v>
      </c>
      <c r="H13" s="10" t="s">
        <v>17</v>
      </c>
      <c r="I13" s="10" t="s">
        <v>18</v>
      </c>
      <c r="J13" s="10" t="s">
        <v>19</v>
      </c>
      <c r="K13" s="10" t="s">
        <v>20</v>
      </c>
      <c r="L13" s="10" t="s">
        <v>21</v>
      </c>
      <c r="M13" s="10" t="s">
        <v>22</v>
      </c>
      <c r="N13" s="10" t="s">
        <v>23</v>
      </c>
      <c r="O13" s="10" t="s">
        <v>24</v>
      </c>
      <c r="P13" s="10" t="s">
        <v>25</v>
      </c>
      <c r="Q13" s="10" t="s">
        <v>40</v>
      </c>
      <c r="R13" s="10" t="s">
        <v>28</v>
      </c>
      <c r="U13" s="10" t="s">
        <v>28</v>
      </c>
      <c r="V13" s="6">
        <f>SUM(V3:V12)</f>
        <v>3.6888671986756879E-5</v>
      </c>
    </row>
    <row r="14" spans="1:32" x14ac:dyDescent="0.25">
      <c r="B14" s="14" t="s">
        <v>27</v>
      </c>
      <c r="E14" s="3">
        <v>0</v>
      </c>
      <c r="F14" s="3">
        <f>(F3*10^(-6)*10)/$C$15</f>
        <v>2.1894423531471592E-6</v>
      </c>
      <c r="G14" s="3">
        <f t="shared" ref="G14:G20" si="7">(G3*10^(-6)*10)/$C$16</f>
        <v>1.3681747269890796E-6</v>
      </c>
      <c r="H14" s="3">
        <f t="shared" ref="H14:H20" si="8">(H3*10^(-6)*10)/$C$17</f>
        <v>1.4400168669618385E-6</v>
      </c>
      <c r="I14" s="3">
        <f t="shared" ref="I14:I20" si="9">(I3*10^(-6)*10)/$C$18</f>
        <v>1.3697140298125519E-6</v>
      </c>
      <c r="J14" s="3" t="s">
        <v>26</v>
      </c>
      <c r="K14" s="3">
        <f t="shared" ref="K14:K20" si="10">(K3*10^(-6)*10)/$C$20</f>
        <v>1.0164343439822095E-6</v>
      </c>
      <c r="L14" s="3">
        <f t="shared" ref="L14:L20" si="11">(L3*10^(-6)*10)/$C$21</f>
        <v>1.0534805181712788E-6</v>
      </c>
      <c r="M14" s="3">
        <f t="shared" ref="M14:M20" si="12">(M3*10^(-6)*10)/$C$22</f>
        <v>1.0721212691836929E-5</v>
      </c>
      <c r="N14" s="3">
        <f t="shared" ref="N14:N20" si="13">(N3*10^(-6)*10)/$C$23</f>
        <v>3.3638090190362611E-6</v>
      </c>
      <c r="O14" s="3">
        <f t="shared" ref="O14:O20" si="14">(O3*10^(-6)*10)/$C$24</f>
        <v>2.1423046533871166E-5</v>
      </c>
      <c r="P14" s="3">
        <f>(P3*10^(-6)*10*0.5)/$C$25</f>
        <v>7.805807693819009E-7</v>
      </c>
      <c r="Q14" s="3">
        <f>(P3*10^(-6)*10*0.5)/$C$26</f>
        <v>6.9829161979752518E-7</v>
      </c>
      <c r="R14" s="4">
        <f t="shared" ref="R14:R20" si="15">SUM(K14:P14)</f>
        <v>3.8358563876279749E-5</v>
      </c>
    </row>
    <row r="15" spans="1:32" x14ac:dyDescent="0.25">
      <c r="B15" s="13" t="s">
        <v>15</v>
      </c>
      <c r="C15" s="3">
        <v>114.23</v>
      </c>
      <c r="E15" s="3">
        <v>1</v>
      </c>
      <c r="F15" s="3">
        <f t="shared" ref="F15:F20" si="16">(F4*10^(-6)*10)/$C$15</f>
        <v>2.126411625667513E-6</v>
      </c>
      <c r="G15" s="3">
        <f t="shared" si="7"/>
        <v>1.7168486739469581E-6</v>
      </c>
      <c r="H15" s="3">
        <f t="shared" si="8"/>
        <v>1.8511490617752479E-6</v>
      </c>
      <c r="I15" s="3">
        <f t="shared" si="9"/>
        <v>1.1067749984006143E-6</v>
      </c>
      <c r="J15" s="3" t="s">
        <v>26</v>
      </c>
      <c r="K15" s="3">
        <f t="shared" si="10"/>
        <v>1.1569127298367413E-6</v>
      </c>
      <c r="L15" s="3">
        <f t="shared" si="11"/>
        <v>1.111447149553909E-6</v>
      </c>
      <c r="M15" s="3">
        <f t="shared" si="12"/>
        <v>9.6907070897278986E-6</v>
      </c>
      <c r="N15" s="3">
        <f t="shared" si="13"/>
        <v>2.5202067046508548E-6</v>
      </c>
      <c r="O15" s="3">
        <f t="shared" si="14"/>
        <v>2.0596748035097932E-5</v>
      </c>
      <c r="P15" s="3">
        <f t="shared" ref="P15:P20" si="17">(P4*10^(-6)*10*0.5)/$C$25</f>
        <v>7.8097371213014254E-7</v>
      </c>
      <c r="Q15" s="3">
        <f t="shared" ref="Q15:Q20" si="18">(P4*10^(-6)*10*0.5)/$C$26</f>
        <v>6.9864313835770515E-7</v>
      </c>
      <c r="R15" s="4">
        <f t="shared" si="15"/>
        <v>3.5856995420997478E-5</v>
      </c>
    </row>
    <row r="16" spans="1:32" x14ac:dyDescent="0.25">
      <c r="B16" s="13" t="s">
        <v>16</v>
      </c>
      <c r="C16" s="3">
        <v>128.19999999999999</v>
      </c>
      <c r="E16" s="3">
        <v>2</v>
      </c>
      <c r="F16" s="3">
        <f t="shared" si="16"/>
        <v>1.9241880416703142E-6</v>
      </c>
      <c r="G16" s="3">
        <f t="shared" si="7"/>
        <v>1.0468018720748829E-6</v>
      </c>
      <c r="H16" s="3">
        <f t="shared" si="8"/>
        <v>1.0710520767446764E-6</v>
      </c>
      <c r="I16" s="3">
        <f t="shared" si="9"/>
        <v>1.2340861109334015E-6</v>
      </c>
      <c r="J16" s="3" t="s">
        <v>26</v>
      </c>
      <c r="K16" s="3">
        <f t="shared" si="10"/>
        <v>9.0687205076747844E-7</v>
      </c>
      <c r="L16" s="3">
        <f t="shared" si="11"/>
        <v>1.106910630576138E-6</v>
      </c>
      <c r="M16" s="3">
        <f t="shared" si="12"/>
        <v>9.5913755766876939E-6</v>
      </c>
      <c r="N16" s="3">
        <f t="shared" si="13"/>
        <v>3.2273309482796696E-6</v>
      </c>
      <c r="O16" s="3">
        <f t="shared" si="14"/>
        <v>2.2423171289557952E-5</v>
      </c>
      <c r="P16" s="3">
        <f t="shared" si="17"/>
        <v>8.5366812055483512E-7</v>
      </c>
      <c r="Q16" s="3">
        <f t="shared" si="18"/>
        <v>7.6367407199100108E-7</v>
      </c>
      <c r="R16" s="4">
        <f t="shared" si="15"/>
        <v>3.8109328616423763E-5</v>
      </c>
    </row>
    <row r="17" spans="2:18" x14ac:dyDescent="0.25">
      <c r="B17" s="13" t="s">
        <v>17</v>
      </c>
      <c r="C17" s="3">
        <v>142.29</v>
      </c>
      <c r="E17" s="3">
        <v>3</v>
      </c>
      <c r="F17" s="3">
        <f t="shared" si="16"/>
        <v>2.3575242930928825E-6</v>
      </c>
      <c r="G17" s="3">
        <f t="shared" si="7"/>
        <v>1.9024960998439939E-6</v>
      </c>
      <c r="H17" s="3">
        <f t="shared" si="8"/>
        <v>1.3078923325602644E-6</v>
      </c>
      <c r="I17" s="3">
        <f t="shared" si="9"/>
        <v>1.2628750559785042E-6</v>
      </c>
      <c r="J17" s="3" t="s">
        <v>26</v>
      </c>
      <c r="K17" s="3">
        <f t="shared" si="10"/>
        <v>7.1974833215816006E-7</v>
      </c>
      <c r="L17" s="3">
        <f t="shared" si="11"/>
        <v>6.250315036040124E-7</v>
      </c>
      <c r="M17" s="3">
        <f t="shared" si="12"/>
        <v>9.5033424347989838E-6</v>
      </c>
      <c r="N17" s="3">
        <f t="shared" si="13"/>
        <v>2.8894483459211163E-6</v>
      </c>
      <c r="O17" s="3">
        <f t="shared" si="14"/>
        <v>2.2121678379839482E-5</v>
      </c>
      <c r="P17" s="3">
        <f t="shared" si="17"/>
        <v>7.8431372549019594E-7</v>
      </c>
      <c r="Q17" s="3">
        <f t="shared" si="18"/>
        <v>7.0163104611923497E-7</v>
      </c>
      <c r="R17" s="4">
        <f t="shared" si="15"/>
        <v>3.6643562721811952E-5</v>
      </c>
    </row>
    <row r="18" spans="2:18" x14ac:dyDescent="0.25">
      <c r="B18" s="13" t="s">
        <v>18</v>
      </c>
      <c r="C18" s="3">
        <v>156.31</v>
      </c>
      <c r="E18" s="3">
        <v>4</v>
      </c>
      <c r="F18" s="3">
        <f t="shared" si="16"/>
        <v>1.9749627943622515E-6</v>
      </c>
      <c r="G18" s="3">
        <f t="shared" si="7"/>
        <v>1.8307332293291729E-6</v>
      </c>
      <c r="H18" s="3">
        <f t="shared" si="8"/>
        <v>8.911378171340221E-7</v>
      </c>
      <c r="I18" s="3">
        <f t="shared" si="9"/>
        <v>1.1861045358582303E-6</v>
      </c>
      <c r="J18" s="3" t="s">
        <v>26</v>
      </c>
      <c r="K18" s="3">
        <f t="shared" si="10"/>
        <v>8.4612464066822149E-7</v>
      </c>
      <c r="L18" s="3">
        <f t="shared" si="11"/>
        <v>9.2595392912949245E-7</v>
      </c>
      <c r="M18" s="3">
        <f t="shared" si="12"/>
        <v>9.4675642594859248E-6</v>
      </c>
      <c r="N18" s="3">
        <f t="shared" si="13"/>
        <v>3.0126761185459999E-6</v>
      </c>
      <c r="O18" s="3">
        <f t="shared" si="14"/>
        <v>2.1904187632552916E-5</v>
      </c>
      <c r="P18" s="3">
        <f t="shared" si="17"/>
        <v>9.0946599080513956E-7</v>
      </c>
      <c r="Q18" s="3">
        <f t="shared" si="18"/>
        <v>8.1358970753655786E-7</v>
      </c>
      <c r="R18" s="4">
        <f t="shared" si="15"/>
        <v>3.7065972571187693E-5</v>
      </c>
    </row>
    <row r="19" spans="2:18" x14ac:dyDescent="0.25">
      <c r="B19" s="13" t="s">
        <v>19</v>
      </c>
      <c r="C19" s="3">
        <v>170.33</v>
      </c>
      <c r="E19" s="3">
        <v>5</v>
      </c>
      <c r="F19" s="3">
        <f t="shared" si="16"/>
        <v>2.3049986868598435E-6</v>
      </c>
      <c r="G19" s="3">
        <f t="shared" si="7"/>
        <v>1.3393135725429019E-6</v>
      </c>
      <c r="H19" s="3">
        <f t="shared" si="8"/>
        <v>9.1924942019818691E-7</v>
      </c>
      <c r="I19" s="3">
        <f t="shared" si="9"/>
        <v>1.0575139146567719E-6</v>
      </c>
      <c r="J19" s="3" t="s">
        <v>26</v>
      </c>
      <c r="K19" s="3">
        <f t="shared" si="10"/>
        <v>1.1287085751478004E-6</v>
      </c>
      <c r="L19" s="3">
        <f t="shared" si="11"/>
        <v>7.6465547658652153E-7</v>
      </c>
      <c r="M19" s="3">
        <f t="shared" si="12"/>
        <v>9.4473213445061679E-6</v>
      </c>
      <c r="N19" s="3">
        <f t="shared" si="13"/>
        <v>2.8753146945806279E-6</v>
      </c>
      <c r="O19" s="3">
        <f t="shared" si="14"/>
        <v>2.1778184388905061E-5</v>
      </c>
      <c r="P19" s="3">
        <f t="shared" si="17"/>
        <v>9.1044834767574355E-7</v>
      </c>
      <c r="Q19" s="3">
        <f t="shared" si="18"/>
        <v>8.1446850393700784E-7</v>
      </c>
      <c r="R19" s="4">
        <f t="shared" si="15"/>
        <v>3.6904632827401922E-5</v>
      </c>
    </row>
    <row r="20" spans="2:18" x14ac:dyDescent="0.25">
      <c r="B20" s="13" t="s">
        <v>20</v>
      </c>
      <c r="C20" s="3">
        <v>184.37</v>
      </c>
      <c r="E20" s="3">
        <v>6</v>
      </c>
      <c r="F20" s="3">
        <f t="shared" si="16"/>
        <v>1.9163092007353581E-6</v>
      </c>
      <c r="G20" s="3">
        <f t="shared" si="7"/>
        <v>2.0046801872074882E-6</v>
      </c>
      <c r="H20" s="3">
        <f t="shared" si="8"/>
        <v>1.4618033593365664E-6</v>
      </c>
      <c r="I20" s="3">
        <f t="shared" si="9"/>
        <v>1.0690294926748128E-6</v>
      </c>
      <c r="J20" s="3" t="s">
        <v>26</v>
      </c>
      <c r="K20" s="3">
        <f t="shared" si="10"/>
        <v>8.8951564788197626E-7</v>
      </c>
      <c r="L20" s="3">
        <f t="shared" si="11"/>
        <v>6.462019255002773E-7</v>
      </c>
      <c r="M20" s="3">
        <f t="shared" si="12"/>
        <v>9.5056962621222113E-6</v>
      </c>
      <c r="N20" s="3">
        <f t="shared" si="13"/>
        <v>2.6531513625723247E-6</v>
      </c>
      <c r="O20" s="3">
        <f t="shared" si="14"/>
        <v>2.170042001081216E-5</v>
      </c>
      <c r="P20" s="3">
        <f t="shared" si="17"/>
        <v>8.9158709576014775E-7</v>
      </c>
      <c r="Q20" s="3">
        <f t="shared" si="18"/>
        <v>7.9759561304836893E-7</v>
      </c>
      <c r="R20" s="4">
        <f t="shared" si="15"/>
        <v>3.6286572304649097E-5</v>
      </c>
    </row>
    <row r="21" spans="2:18" x14ac:dyDescent="0.25">
      <c r="B21" s="13" t="s">
        <v>21</v>
      </c>
      <c r="C21" s="3">
        <v>198.39</v>
      </c>
    </row>
    <row r="22" spans="2:18" x14ac:dyDescent="0.25">
      <c r="B22" s="13" t="s">
        <v>22</v>
      </c>
      <c r="C22" s="3">
        <v>212.42</v>
      </c>
    </row>
    <row r="23" spans="2:18" x14ac:dyDescent="0.25">
      <c r="B23" s="13" t="s">
        <v>23</v>
      </c>
      <c r="C23" s="3">
        <v>226.41</v>
      </c>
    </row>
    <row r="24" spans="2:18" x14ac:dyDescent="0.25">
      <c r="B24" s="13" t="s">
        <v>24</v>
      </c>
      <c r="C24" s="3">
        <v>240.47</v>
      </c>
    </row>
    <row r="25" spans="2:18" x14ac:dyDescent="0.25">
      <c r="B25" s="13" t="s">
        <v>25</v>
      </c>
      <c r="C25" s="3">
        <f>C24+14.02</f>
        <v>254.49</v>
      </c>
    </row>
    <row r="26" spans="2:18" x14ac:dyDescent="0.25">
      <c r="B26" s="13" t="s">
        <v>40</v>
      </c>
      <c r="C26" s="3">
        <v>284.48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6C63-46D6-40FC-BDFE-10AAAE6D1F14}">
  <dimension ref="B2:E7"/>
  <sheetViews>
    <sheetView zoomScale="85" zoomScaleNormal="85" workbookViewId="0">
      <selection activeCell="V27" sqref="V27"/>
    </sheetView>
  </sheetViews>
  <sheetFormatPr defaultRowHeight="15" x14ac:dyDescent="0.25"/>
  <cols>
    <col min="2" max="2" width="10.28515625" bestFit="1" customWidth="1"/>
  </cols>
  <sheetData>
    <row r="2" spans="2:5" x14ac:dyDescent="0.25">
      <c r="B2" s="10" t="s">
        <v>41</v>
      </c>
      <c r="C2" s="10" t="s">
        <v>42</v>
      </c>
      <c r="D2" s="10" t="s">
        <v>43</v>
      </c>
      <c r="E2" s="10" t="s">
        <v>44</v>
      </c>
    </row>
    <row r="3" spans="2:5" x14ac:dyDescent="0.25">
      <c r="B3" s="3">
        <f>5.513*10^-4</f>
        <v>5.5130000000000001E-4</v>
      </c>
      <c r="C3" s="3">
        <f>LN(B3)</f>
        <v>-7.5032314323686364</v>
      </c>
      <c r="D3" s="3">
        <f>300+273</f>
        <v>573</v>
      </c>
      <c r="E3" s="3">
        <f>1/D3</f>
        <v>1.7452006980802793E-3</v>
      </c>
    </row>
    <row r="4" spans="2:5" x14ac:dyDescent="0.25">
      <c r="B4" s="3">
        <f>11.135*10^-4</f>
        <v>1.1135000000000001E-3</v>
      </c>
      <c r="C4" s="3">
        <f t="shared" ref="C4:C5" si="0">LN(B4)</f>
        <v>-6.8002470712668517</v>
      </c>
      <c r="D4" s="3">
        <f>325+273</f>
        <v>598</v>
      </c>
      <c r="E4" s="3">
        <f t="shared" ref="E4:E5" si="1">1/D4</f>
        <v>1.6722408026755853E-3</v>
      </c>
    </row>
    <row r="5" spans="2:5" x14ac:dyDescent="0.25">
      <c r="B5" s="3">
        <f>16.58*10^-4</f>
        <v>1.658E-3</v>
      </c>
      <c r="C5" s="3">
        <f t="shared" si="0"/>
        <v>-6.402143222269034</v>
      </c>
      <c r="D5" s="3">
        <f>400+273</f>
        <v>673</v>
      </c>
      <c r="E5" s="3">
        <f t="shared" si="1"/>
        <v>1.4858841010401188E-3</v>
      </c>
    </row>
    <row r="7" spans="2:5" x14ac:dyDescent="0.25">
      <c r="B7" s="14" t="s">
        <v>45</v>
      </c>
      <c r="C7" s="14">
        <f>(SLOPE(C3:C5,E3:E5))*8.314*(-1)</f>
        <v>31847.399163109192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2049" r:id="rId4">
          <objectPr defaultSize="0" autoPict="0" r:id="rId5">
            <anchor moveWithCells="1" sizeWithCells="1">
              <from>
                <xdr:col>7</xdr:col>
                <xdr:colOff>495300</xdr:colOff>
                <xdr:row>1</xdr:row>
                <xdr:rowOff>9525</xdr:rowOff>
              </from>
              <to>
                <xdr:col>10</xdr:col>
                <xdr:colOff>0</xdr:colOff>
                <xdr:row>3</xdr:row>
                <xdr:rowOff>19050</xdr:rowOff>
              </to>
            </anchor>
          </objectPr>
        </oleObject>
      </mc:Choice>
      <mc:Fallback>
        <oleObject progId="Equation.DSMT4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ασκηση 1</vt:lpstr>
      <vt:lpstr>ασκηση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ΣΙΑΚΑΒΕΛΑΣ ΓΕΩΡΓΙΟΣ</cp:lastModifiedBy>
  <dcterms:created xsi:type="dcterms:W3CDTF">2023-01-04T08:58:14Z</dcterms:created>
  <dcterms:modified xsi:type="dcterms:W3CDTF">2025-12-16T13:45:06Z</dcterms:modified>
</cp:coreProperties>
</file>